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73" activeTab="4"/>
  </bookViews>
  <sheets>
    <sheet name="Desem Total" sheetId="1" r:id="rId1"/>
    <sheet name="RHM por especie" sheetId="2" r:id="rId2"/>
    <sheet name="RHM por proced" sheetId="3" r:id="rId3"/>
    <sheet name="Continental especie" sheetId="4" r:id="rId4"/>
    <sheet name="Continental Dpto" sheetId="5" r:id="rId5"/>
    <sheet name="Trucha" sheetId="6" r:id="rId6"/>
    <sheet name="Anchoveta" sheetId="7" r:id="rId7"/>
    <sheet name="Otras especies" sheetId="8" r:id="rId8"/>
    <sheet name="Curado ind especie" sheetId="9" r:id="rId9"/>
    <sheet name="Curado ind puerto" sheetId="10" r:id="rId10"/>
  </sheets>
  <definedNames>
    <definedName name="_xlnm.Print_Area" localSheetId="6">'Anchoveta'!$B$2:$Q$71</definedName>
    <definedName name="_xlnm.Print_Area" localSheetId="4">'Continental Dpto'!$B$2:$M$94</definedName>
    <definedName name="_xlnm.Print_Area" localSheetId="3">'Continental especie'!$A$1:$L$85</definedName>
    <definedName name="_xlnm.Print_Area" localSheetId="0">'Desem Total'!$B$1:$S$55</definedName>
    <definedName name="_xlnm.Print_Area" localSheetId="7">'Otras especies'!$A$1:$R$63</definedName>
    <definedName name="_xlnm.Print_Area" localSheetId="1">'RHM por especie'!$B$3:$M$123</definedName>
    <definedName name="_xlnm.Print_Area" localSheetId="2">'RHM por proced'!$B$2:$L$91</definedName>
  </definedNames>
  <calcPr fullCalcOnLoad="1"/>
</workbook>
</file>

<file path=xl/sharedStrings.xml><?xml version="1.0" encoding="utf-8"?>
<sst xmlns="http://schemas.openxmlformats.org/spreadsheetml/2006/main" count="1572" uniqueCount="306">
  <si>
    <t/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</si>
  <si>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</si>
  <si>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</si>
  <si>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</si>
  <si>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</si>
  <si>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</si>
  <si>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</si>
  <si>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</si>
  <si>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</si>
  <si>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</si>
  <si>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</si>
  <si>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</si>
  <si>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</si>
  <si>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</si>
  <si>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1.</t>
  </si>
  <si>
    <t>CONSUMO HUMANO DIRECTO</t>
  </si>
  <si>
    <t>ENLATADO</t>
  </si>
  <si>
    <t>CONGELADO</t>
  </si>
  <si>
    <t>FRESCO</t>
  </si>
  <si>
    <t>2.</t>
  </si>
  <si>
    <t>CONSUMO HUMANO INDIRECTO</t>
  </si>
  <si>
    <t>-</t>
  </si>
  <si>
    <t>ANCHOVETA</t>
  </si>
  <si>
    <t>OTRAS ESPECIES</t>
  </si>
  <si>
    <t xml:space="preserve">Ene   </t>
  </si>
  <si>
    <t xml:space="preserve">Feb    </t>
  </si>
  <si>
    <t>Paita</t>
  </si>
  <si>
    <t>Parachique</t>
  </si>
  <si>
    <t>Bayóvar</t>
  </si>
  <si>
    <t>Chicama</t>
  </si>
  <si>
    <t>Salaverry</t>
  </si>
  <si>
    <t>Coishco</t>
  </si>
  <si>
    <t>Chimbote</t>
  </si>
  <si>
    <t>Samanco</t>
  </si>
  <si>
    <t>Casma</t>
  </si>
  <si>
    <t>Huarmey</t>
  </si>
  <si>
    <t>Supe</t>
  </si>
  <si>
    <t>Végueta</t>
  </si>
  <si>
    <t>Huacho</t>
  </si>
  <si>
    <t>Chancay</t>
  </si>
  <si>
    <t>Callao</t>
  </si>
  <si>
    <t>Pucusana</t>
  </si>
  <si>
    <t>Tambo de Mora</t>
  </si>
  <si>
    <t>Pisco</t>
  </si>
  <si>
    <t>Atico</t>
  </si>
  <si>
    <t>La Planchada</t>
  </si>
  <si>
    <t>Matarani</t>
  </si>
  <si>
    <t>Mollendo</t>
  </si>
  <si>
    <t>Ilo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</si>
  <si>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</si>
  <si>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</si>
  <si>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</si>
  <si>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</si>
  <si>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</si>
  <si>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</si>
  <si>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</si>
  <si>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 </t>
  </si>
  <si>
    <t xml:space="preserve">Oct    </t>
  </si>
  <si>
    <t xml:space="preserve">Nov   </t>
  </si>
  <si>
    <t xml:space="preserve">Dic    </t>
  </si>
  <si>
    <t>Santa Rosa</t>
  </si>
  <si>
    <t>CURADO</t>
  </si>
  <si>
    <t>I.</t>
  </si>
  <si>
    <t>A.</t>
  </si>
  <si>
    <t>Anchoveta</t>
  </si>
  <si>
    <t>Atún</t>
  </si>
  <si>
    <t>Barrilete</t>
  </si>
  <si>
    <t>Bonito</t>
  </si>
  <si>
    <t>Caballa</t>
  </si>
  <si>
    <t>Jurel</t>
  </si>
  <si>
    <t>Perico</t>
  </si>
  <si>
    <t>Pez Volador</t>
  </si>
  <si>
    <t>Sardina</t>
  </si>
  <si>
    <t>Sierra</t>
  </si>
  <si>
    <t>Tiburón</t>
  </si>
  <si>
    <t>B.</t>
  </si>
  <si>
    <t>Ayanque</t>
  </si>
  <si>
    <t>Cabrilla</t>
  </si>
  <si>
    <t>Coco</t>
  </si>
  <si>
    <t>Lenguado</t>
  </si>
  <si>
    <t>Merluza</t>
  </si>
  <si>
    <t>Ojo de Uva</t>
  </si>
  <si>
    <t>Peje Blanco</t>
  </si>
  <si>
    <t>Raya</t>
  </si>
  <si>
    <t>Tollo</t>
  </si>
  <si>
    <t>C.</t>
  </si>
  <si>
    <t>Cabinza</t>
  </si>
  <si>
    <t>Cojinova</t>
  </si>
  <si>
    <t>Liza</t>
  </si>
  <si>
    <t>Lorna</t>
  </si>
  <si>
    <t>Machete</t>
  </si>
  <si>
    <t>Pejerrey</t>
  </si>
  <si>
    <t>Pintadilla</t>
  </si>
  <si>
    <t>D.</t>
  </si>
  <si>
    <t>II.</t>
  </si>
  <si>
    <t>Cangrejo</t>
  </si>
  <si>
    <t>Langostino</t>
  </si>
  <si>
    <t>Otros</t>
  </si>
  <si>
    <t>Caracol</t>
  </si>
  <si>
    <t>Choro</t>
  </si>
  <si>
    <t>Concha de Abanico</t>
  </si>
  <si>
    <t>Almeja</t>
  </si>
  <si>
    <t>Calamar</t>
  </si>
  <si>
    <t>Pota</t>
  </si>
  <si>
    <t>Puerto Pizarro</t>
  </si>
  <si>
    <t>Caleta Cruz</t>
  </si>
  <si>
    <t>Caleta Grau</t>
  </si>
  <si>
    <t>Zorritos</t>
  </si>
  <si>
    <t>Acapulco</t>
  </si>
  <si>
    <t>Punta Mero</t>
  </si>
  <si>
    <t>Cancas</t>
  </si>
  <si>
    <t>Máncora</t>
  </si>
  <si>
    <t>Los Organos</t>
  </si>
  <si>
    <t>El Ñuro</t>
  </si>
  <si>
    <t>Cabo Blanco</t>
  </si>
  <si>
    <t>Talara</t>
  </si>
  <si>
    <t>Negritos</t>
  </si>
  <si>
    <t xml:space="preserve">Paita </t>
  </si>
  <si>
    <t>San José</t>
  </si>
  <si>
    <t>Pimentel</t>
  </si>
  <si>
    <t>Pacasmayo</t>
  </si>
  <si>
    <t>Culebras</t>
  </si>
  <si>
    <t>Supe - Puerto Chico</t>
  </si>
  <si>
    <t>Carquín - Huacho</t>
  </si>
  <si>
    <t>Ancón</t>
  </si>
  <si>
    <t>Chorrillos</t>
  </si>
  <si>
    <t>San Andrés</t>
  </si>
  <si>
    <t>San Nicolás - San Juan</t>
  </si>
  <si>
    <t>Lomas</t>
  </si>
  <si>
    <t>Chala</t>
  </si>
  <si>
    <t>Quilca</t>
  </si>
  <si>
    <t>Ite - Meca - Vila Vila</t>
  </si>
  <si>
    <t>Otros Puertos</t>
  </si>
  <si>
    <t>PESCA PERU</t>
  </si>
  <si>
    <t>Puerto</t>
  </si>
  <si>
    <t>(Pelágicos y Demersales)</t>
  </si>
  <si>
    <t>Puerto Rico</t>
  </si>
  <si>
    <t>Lobitos</t>
  </si>
  <si>
    <t xml:space="preserve"> </t>
  </si>
  <si>
    <t>III.</t>
  </si>
  <si>
    <t>Otros moluscos</t>
  </si>
  <si>
    <t xml:space="preserve"> NOTA: No se incluye lo procedente del ambito continental.</t>
  </si>
  <si>
    <t>Tipo de Utilización</t>
  </si>
  <si>
    <t>Sep</t>
  </si>
  <si>
    <t>Otras especies</t>
  </si>
  <si>
    <t>(TM)</t>
  </si>
  <si>
    <t>Fuente : Empresas Pesqueras.</t>
  </si>
  <si>
    <t>Fuente: Empresas Pesqueras.</t>
  </si>
  <si>
    <t>Fuente: Empresas Pesqueras y Direcciones Regionales de Producción (DIREPRO)</t>
  </si>
  <si>
    <t>Consumo Humano Directo</t>
  </si>
  <si>
    <t>Enlatado</t>
  </si>
  <si>
    <t>Congelado</t>
  </si>
  <si>
    <t>Fresco</t>
  </si>
  <si>
    <t>Consumo Humano Indirecto</t>
  </si>
  <si>
    <t>Especies</t>
  </si>
  <si>
    <t>Consumo Humano</t>
  </si>
  <si>
    <t>Indirecto (Harina)</t>
  </si>
  <si>
    <t>Curado</t>
  </si>
  <si>
    <t>Total  General ( I + II + III )</t>
  </si>
  <si>
    <t>Pescados ( A+B+C+D )</t>
  </si>
  <si>
    <t>Pelágicos</t>
  </si>
  <si>
    <t>Demersales</t>
  </si>
  <si>
    <t>Costeros</t>
  </si>
  <si>
    <t>Otros Pescados</t>
  </si>
  <si>
    <t>Mariscos (A+B)</t>
  </si>
  <si>
    <t>A.-Crustáceos</t>
  </si>
  <si>
    <t>Otras Especies ( A+B+C+D)</t>
  </si>
  <si>
    <t>C.- Cetáceos Menores</t>
  </si>
  <si>
    <t>D.- Vegetales (algas)</t>
  </si>
  <si>
    <t>B.-Moluscos</t>
  </si>
  <si>
    <t>Lugar</t>
  </si>
  <si>
    <t>Salpreso</t>
  </si>
  <si>
    <t>Seco-Salado</t>
  </si>
  <si>
    <t>Asado</t>
  </si>
  <si>
    <t>Loreto</t>
  </si>
  <si>
    <t>Caballococha</t>
  </si>
  <si>
    <t>Contamana</t>
  </si>
  <si>
    <t>El Estrecho</t>
  </si>
  <si>
    <t>Iquitos</t>
  </si>
  <si>
    <t>Nauta</t>
  </si>
  <si>
    <t>Pevas</t>
  </si>
  <si>
    <t>Requena</t>
  </si>
  <si>
    <t>San Pablo</t>
  </si>
  <si>
    <t>Yurimaguas</t>
  </si>
  <si>
    <t>Ucayali</t>
  </si>
  <si>
    <t>Atalaya</t>
  </si>
  <si>
    <t>Coronel Portillo</t>
  </si>
  <si>
    <t>Pucallpa</t>
  </si>
  <si>
    <t>Yarinococha</t>
  </si>
  <si>
    <t>Amazonas</t>
  </si>
  <si>
    <t>Ancash</t>
  </si>
  <si>
    <t>Arequipa</t>
  </si>
  <si>
    <t>Ayacucho</t>
  </si>
  <si>
    <t>Cajamarca</t>
  </si>
  <si>
    <t>Cusco</t>
  </si>
  <si>
    <t>Huancavelica</t>
  </si>
  <si>
    <t>Ica</t>
  </si>
  <si>
    <t>La Libertad</t>
  </si>
  <si>
    <t>Lambayeque</t>
  </si>
  <si>
    <t>Lima</t>
  </si>
  <si>
    <t>Madre de Dios</t>
  </si>
  <si>
    <t>Moquegua</t>
  </si>
  <si>
    <t>Pasco</t>
  </si>
  <si>
    <t>Piura</t>
  </si>
  <si>
    <t>Puno</t>
  </si>
  <si>
    <t>Tacna</t>
  </si>
  <si>
    <t>Tumbes</t>
  </si>
  <si>
    <t>Especie</t>
  </si>
  <si>
    <t>Seco Salado</t>
  </si>
  <si>
    <t>Acarahuazu</t>
  </si>
  <si>
    <t>Arahuana</t>
  </si>
  <si>
    <t>Boquichico</t>
  </si>
  <si>
    <t>Carachama</t>
  </si>
  <si>
    <t>Chiu Chiu</t>
  </si>
  <si>
    <t>Corvina</t>
  </si>
  <si>
    <t>Doncella</t>
  </si>
  <si>
    <t>Dorado</t>
  </si>
  <si>
    <t>Fasaco</t>
  </si>
  <si>
    <t>Gamitana</t>
  </si>
  <si>
    <t>Lisa</t>
  </si>
  <si>
    <t>Llambina</t>
  </si>
  <si>
    <t>Maparate</t>
  </si>
  <si>
    <t>Motta</t>
  </si>
  <si>
    <t>Paco</t>
  </si>
  <si>
    <t>Paiche</t>
  </si>
  <si>
    <t>Palometa</t>
  </si>
  <si>
    <t>Sabalo</t>
  </si>
  <si>
    <t>Yahuarachi</t>
  </si>
  <si>
    <t>Yulilla</t>
  </si>
  <si>
    <t>Especies de Sierra</t>
  </si>
  <si>
    <t>Carachi</t>
  </si>
  <si>
    <t>Ispi</t>
  </si>
  <si>
    <t>Trucha</t>
  </si>
  <si>
    <t>Especies de Acuicultura</t>
  </si>
  <si>
    <t>Carpa</t>
  </si>
  <si>
    <t>Tilapia</t>
  </si>
  <si>
    <t>Otro</t>
  </si>
  <si>
    <t xml:space="preserve">PERÚ: EXTRACCIÓN DE RECURSOS HIDROBIOLÓGICOS DE ORIGEN CONTINENTAL POR </t>
  </si>
  <si>
    <t>Fuente: Direcciones Regionales de Producción (DIREPRO) y Empresas Acuícolas</t>
  </si>
  <si>
    <t>Fuente:  Direcciones Regionales de Produccion (DIREPRO)  y Empresas Acuícolas</t>
  </si>
  <si>
    <t>1/ Incluye salpreso, seco, seco salado, salazón</t>
  </si>
  <si>
    <t xml:space="preserve">             Comprende curado artesanal e industrial</t>
  </si>
  <si>
    <t>A.- Equinodermos (Erizo y Otros)</t>
  </si>
  <si>
    <t>Otros crustáceos</t>
  </si>
  <si>
    <t>Huánuco</t>
  </si>
  <si>
    <t>Junín</t>
  </si>
  <si>
    <t>Camarón de Malasia</t>
  </si>
  <si>
    <t>Apurímac</t>
  </si>
  <si>
    <t>San Martín</t>
  </si>
  <si>
    <t>Especies Amazónicas</t>
  </si>
  <si>
    <t>Camarón de Rio</t>
  </si>
  <si>
    <t>Zúngaro</t>
  </si>
  <si>
    <t>Ractacara</t>
  </si>
  <si>
    <t>Fuente:  Direcciones Regionales de Producción (DIREPRO)  y Empresas Acuícolas</t>
  </si>
  <si>
    <r>
      <t xml:space="preserve">Curado </t>
    </r>
    <r>
      <rPr>
        <vertAlign val="superscript"/>
        <sz val="12"/>
        <rFont val="Arial"/>
        <family val="2"/>
      </rPr>
      <t>1/</t>
    </r>
  </si>
  <si>
    <t>Pacotana</t>
  </si>
  <si>
    <t>Anguila</t>
  </si>
  <si>
    <t>Abalon</t>
  </si>
  <si>
    <t>Carquin</t>
  </si>
  <si>
    <t xml:space="preserve">Puno </t>
  </si>
  <si>
    <t>Acuicultura</t>
  </si>
  <si>
    <t>Amazonía</t>
  </si>
  <si>
    <t>0 = Menos de una tonelada</t>
  </si>
  <si>
    <t>Tipo de  Utilización / Departamento</t>
  </si>
  <si>
    <t>Departamento</t>
  </si>
  <si>
    <t xml:space="preserve">            Para enlatado se considera lugar de procesamiento</t>
  </si>
  <si>
    <t>PERÚ: DESEMBARQUE DE RECURSOS HIDROBIOLÓGICOS MARÍTIMOS POR TIPO DE UTILIZACIÓN Y</t>
  </si>
  <si>
    <t>Nota: Veda reproductiva en la zona Norte y Centro en los periodos de enero a marzo y de julio a setiembre</t>
  </si>
  <si>
    <t>Descarte de Anchoveta</t>
  </si>
  <si>
    <t>Nota: Descartes de otras especies</t>
  </si>
  <si>
    <t xml:space="preserve">             Incluye curado artesanal, industrial </t>
  </si>
  <si>
    <t>B.- Quelonios y Cnidaria</t>
  </si>
  <si>
    <t>Nota: Incluye lo procedente de la Acuicultura.</t>
  </si>
  <si>
    <t>Nota: Incluye lo procedente de acuicultura y excluye la extración natural del ambito continental</t>
  </si>
  <si>
    <t>ESPECIE</t>
  </si>
  <si>
    <t>Algas</t>
  </si>
  <si>
    <t>Tiburon</t>
  </si>
  <si>
    <t>La Puntilla</t>
  </si>
  <si>
    <t>La Yerba</t>
  </si>
  <si>
    <t>Atenas</t>
  </si>
  <si>
    <t>Laguna grande</t>
  </si>
  <si>
    <t>Punta Caballa</t>
  </si>
  <si>
    <t>San Nicolás</t>
  </si>
  <si>
    <t>Yauca</t>
  </si>
  <si>
    <t xml:space="preserve">Nota:    Incluye información de la cosecha proveniente de la acuicultura continental y extracción natural. </t>
  </si>
  <si>
    <r>
      <t xml:space="preserve">Fresco </t>
    </r>
    <r>
      <rPr>
        <vertAlign val="superscript"/>
        <sz val="12"/>
        <rFont val="Arial"/>
        <family val="2"/>
      </rPr>
      <t>2/</t>
    </r>
  </si>
  <si>
    <t>2/ Incluye acuicultura y desembarque maritimo y continental</t>
  </si>
  <si>
    <t>Samasa</t>
  </si>
  <si>
    <t>PERÚ: DESEMBARQUE DE RECURSOS HIDROBIOLÓGICOS MARÍTIMOS POR TIPO DE UTILIZACIÓN Y ESPECIE, 2018</t>
  </si>
  <si>
    <t>LUGAR DE PROCEDENCIA,  2018</t>
  </si>
  <si>
    <t>PERÚ: DESEMBARQUE DE RECURSOS HIDROBIOLÓGICOS MARÍTIMOS Y CONTINENTALES POR UTILIZACIÓN, 2018</t>
  </si>
  <si>
    <t xml:space="preserve">        PERÚ: DESEMBARQUE Y COSECHA DE RECURSOS HIDROBIOLÓGICOS DE ORIGEN CONTINENTAL POR TIPO DE UTILIZACIÓN Y DEPARTAMENTO, 2018</t>
  </si>
  <si>
    <t>TIPO DE UTILIZACIÓN SEGÚN ESPECIE, 2018</t>
  </si>
  <si>
    <t>PERÚ: EXTRACCIÓN DE LA ESPECIE TRUCHA POR TIPO DE UTILIZACIÓN Y DEPARTAMENTO,  2018</t>
  </si>
  <si>
    <t>PERÚ: DESEMBARQUE DE ANCHOVETA PARA HARINA Y ACEITE POR MES Y PUERTO,  2018</t>
  </si>
  <si>
    <t>PERÚ: DESEMBARQUE DE RECURSOS HIDROBIOLÓGICOS PARA CURADO INDUSTRIAL POR MES, 2018</t>
  </si>
  <si>
    <t>PERÚ: DESEMBARQUE DE ANCHOVETA PARA CURADO POR MES SEGÚN PUERTO, 2018</t>
  </si>
  <si>
    <t>PERÚ: DESEMBARQUE DE SAMASA PARA CURADO POR MES SEGÚN PUERTO, 2018</t>
  </si>
  <si>
    <t>PERÚ: DESEMBARQUE DE ALGAS PARA CURADO POR MES SEGÚN PUERTO, 2018</t>
  </si>
  <si>
    <t>PERÚ: DESEMBARQUE DE TIBURON PARA CURADO POR MES SEGÚN PUERTO, 2018</t>
  </si>
  <si>
    <t>Otros puertos</t>
  </si>
  <si>
    <t>San Juan de Marcona</t>
  </si>
  <si>
    <t>Mazán</t>
  </si>
  <si>
    <t xml:space="preserve">       -</t>
  </si>
  <si>
    <t>Norta: (0) Menos de  media tonelada</t>
  </si>
  <si>
    <t>PERÚ: DESEMBARQUE DE OTRAS ESPECIES PARA HARINA Y ACEITE POR MES Y  SEGÚN PUERTO, 2018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</si>
</sst>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S/.&quot;\ * #,##0_);_(&quot;S/.&quot;\ * \(#,##0\);_(&quot;S/.&quot;\ * &quot;-&quot;_);_(@_)"/>
    <numFmt numFmtId="193" formatCode="_(&quot;S/.&quot;\ * #,##0.00_);_(&quot;S/.&quot;\ * \(#,##0.00\);_(&quot;S/.&quot;\ * &quot;-&quot;??_);_(@_)"/>
    <numFmt numFmtId="194" formatCode="#,##0.0"/>
    <numFmt numFmtId="195" formatCode="#,##0.000"/>
    <numFmt numFmtId="196" formatCode="\$#,##0\ ;\(\$#,##0\)"/>
    <numFmt numFmtId="197" formatCode="0.0%"/>
    <numFmt numFmtId="198" formatCode="#,##0.0000"/>
    <numFmt numFmtId="199" formatCode="#,##0;[Red]#,##0"/>
    <numFmt numFmtId="200" formatCode="#,##0.00000"/>
    <numFmt numFmtId="201" formatCode="0.0"/>
    <numFmt numFmtId="202" formatCode="#,##0.0000000000000"/>
    <numFmt numFmtId="203" formatCode="#,##0.000000000000"/>
    <numFmt numFmtId="204" formatCode="_ * #,##0_ ;_ * \-#,##0_ ;_ * &quot;-&quot;??_ ;_ @_ "/>
    <numFmt numFmtId="205" formatCode="_ * #,##0.0_ ;_ * \-#,##0.0_ ;_ * &quot;-&quot;??_ ;_ @_ "/>
    <numFmt numFmtId="206" formatCode="0.000"/>
  </numFmts>
  <fonts count="1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b/>
      <sz val="13"/>
      <name val="Arial"/>
      <family val="2"/>
    </font>
    <font>
      <vertAlign val="superscript"/>
      <sz val="12"/>
      <name val="Arial"/>
      <family val="2"/>
    </font>
    <font>
      <sz val="20"/>
      <name val="Arial"/>
      <family val="2"/>
    </font>
    <font>
      <sz val="15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28.25"/>
      <color indexed="8"/>
      <name val="Arial"/>
      <family val="2"/>
    </font>
    <font>
      <sz val="11"/>
      <color indexed="8"/>
      <name val="Arial"/>
      <family val="2"/>
    </font>
    <font>
      <sz val="14.7"/>
      <color indexed="8"/>
      <name val="Calibri"/>
      <family val="2"/>
    </font>
    <font>
      <sz val="29.5"/>
      <color indexed="8"/>
      <name val="Arial"/>
      <family val="2"/>
    </font>
    <font>
      <sz val="19.25"/>
      <color indexed="8"/>
      <name val="Arial"/>
      <family val="2"/>
    </font>
    <font>
      <sz val="10.5"/>
      <color indexed="8"/>
      <name val="Arial"/>
      <family val="2"/>
    </font>
    <font>
      <sz val="9"/>
      <color indexed="63"/>
      <name val="Calibri"/>
      <family val="2"/>
    </font>
    <font>
      <sz val="8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9"/>
      <color indexed="10"/>
      <name val="Arial"/>
      <family val="2"/>
    </font>
    <font>
      <sz val="11"/>
      <color indexed="55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b/>
      <sz val="11"/>
      <color indexed="55"/>
      <name val="Arial"/>
      <family val="2"/>
    </font>
    <font>
      <sz val="9"/>
      <color indexed="55"/>
      <name val="Arial"/>
      <family val="2"/>
    </font>
    <font>
      <b/>
      <sz val="9"/>
      <color indexed="9"/>
      <name val="Arial"/>
      <family val="2"/>
    </font>
    <font>
      <b/>
      <sz val="12"/>
      <color indexed="10"/>
      <name val="Arial"/>
      <family val="2"/>
    </font>
    <font>
      <sz val="11"/>
      <color indexed="60"/>
      <name val="Arial"/>
      <family val="2"/>
    </font>
    <font>
      <sz val="12"/>
      <color indexed="9"/>
      <name val="Arial"/>
      <family val="2"/>
    </font>
    <font>
      <sz val="20"/>
      <color indexed="10"/>
      <name val="Arial"/>
      <family val="2"/>
    </font>
    <font>
      <sz val="12"/>
      <color indexed="55"/>
      <name val="Calibri"/>
      <family val="2"/>
    </font>
    <font>
      <sz val="10"/>
      <color indexed="55"/>
      <name val="Calibri"/>
      <family val="2"/>
    </font>
    <font>
      <b/>
      <sz val="11"/>
      <color indexed="10"/>
      <name val="Calibri"/>
      <family val="2"/>
    </font>
    <font>
      <b/>
      <sz val="11"/>
      <color indexed="55"/>
      <name val="Calibri"/>
      <family val="2"/>
    </font>
    <font>
      <sz val="10"/>
      <color indexed="60"/>
      <name val="Arial"/>
      <family val="2"/>
    </font>
    <font>
      <sz val="10"/>
      <color indexed="60"/>
      <name val="Calibri"/>
      <family val="2"/>
    </font>
    <font>
      <sz val="12"/>
      <color indexed="60"/>
      <name val="Arial"/>
      <family val="2"/>
    </font>
    <font>
      <b/>
      <sz val="14"/>
      <name val="Arial"/>
      <family val="2"/>
    </font>
    <font>
      <sz val="11"/>
      <name val="Book Antiqua"/>
      <family val="1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2"/>
      <color indexed="63"/>
      <name val="Calibri"/>
      <family val="2"/>
    </font>
    <font>
      <b/>
      <sz val="12"/>
      <color indexed="63"/>
      <name val="Arial"/>
      <family val="2"/>
    </font>
    <font>
      <sz val="14"/>
      <color indexed="63"/>
      <name val="Calibri"/>
      <family val="2"/>
    </font>
    <font>
      <b/>
      <sz val="10"/>
      <color indexed="8"/>
      <name val="Arial"/>
      <family val="2"/>
    </font>
    <font>
      <b/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"/>
      <family val="2"/>
    </font>
    <font>
      <sz val="19"/>
      <color indexed="8"/>
      <name val="Arial"/>
      <family val="2"/>
    </font>
    <font>
      <b/>
      <sz val="14"/>
      <color indexed="63"/>
      <name val="Calibri"/>
      <family val="2"/>
    </font>
    <font>
      <b/>
      <sz val="11"/>
      <color indexed="63"/>
      <name val="Arial"/>
      <family val="2"/>
    </font>
    <font>
      <b/>
      <sz val="8"/>
      <color indexed="63"/>
      <name val="Arial"/>
      <family val="2"/>
    </font>
    <font>
      <sz val="10.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12"/>
      <color theme="0" tint="-0.3499799966812134"/>
      <name val="Arial"/>
      <family val="2"/>
    </font>
    <font>
      <sz val="9"/>
      <color rgb="FFFF0000"/>
      <name val="Arial"/>
      <family val="2"/>
    </font>
    <font>
      <sz val="11"/>
      <color theme="0" tint="-0.3499799966812134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2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sz val="11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10"/>
      <color theme="1"/>
      <name val="Calibri"/>
      <family val="2"/>
    </font>
    <font>
      <b/>
      <sz val="9"/>
      <color theme="0"/>
      <name val="Arial"/>
      <family val="2"/>
    </font>
    <font>
      <sz val="10"/>
      <color theme="0"/>
      <name val="Calibri"/>
      <family val="2"/>
    </font>
    <font>
      <b/>
      <sz val="12"/>
      <color rgb="FFFF0000"/>
      <name val="Arial"/>
      <family val="2"/>
    </font>
    <font>
      <sz val="11"/>
      <color rgb="FFC00000"/>
      <name val="Arial"/>
      <family val="2"/>
    </font>
    <font>
      <sz val="12"/>
      <color theme="0"/>
      <name val="Arial"/>
      <family val="2"/>
    </font>
    <font>
      <sz val="20"/>
      <color rgb="FFFF0000"/>
      <name val="Arial"/>
      <family val="2"/>
    </font>
    <font>
      <sz val="12"/>
      <color theme="0" tint="-0.3499799966812134"/>
      <name val="Calibri"/>
      <family val="2"/>
    </font>
    <font>
      <sz val="10"/>
      <color theme="0" tint="-0.3499799966812134"/>
      <name val="Calibri"/>
      <family val="2"/>
    </font>
    <font>
      <b/>
      <sz val="11"/>
      <color rgb="FFFF0000"/>
      <name val="Calibri"/>
      <family val="2"/>
    </font>
    <font>
      <b/>
      <sz val="11"/>
      <color theme="0" tint="-0.3499799966812134"/>
      <name val="Calibri"/>
      <family val="2"/>
    </font>
    <font>
      <sz val="10"/>
      <color rgb="FFC00000"/>
      <name val="Arial"/>
      <family val="2"/>
    </font>
    <font>
      <sz val="10"/>
      <color rgb="FFC00000"/>
      <name val="Calibri"/>
      <family val="2"/>
    </font>
    <font>
      <sz val="12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1" borderId="1" applyNumberFormat="0" applyAlignment="0" applyProtection="0"/>
    <xf numFmtId="0" fontId="101" fillId="22" borderId="2" applyNumberFormat="0" applyAlignment="0" applyProtection="0"/>
    <xf numFmtId="0" fontId="102" fillId="0" borderId="3" applyNumberFormat="0" applyFill="0" applyAlignment="0" applyProtection="0"/>
    <xf numFmtId="3" fontId="0" fillId="23" borderId="0" applyFont="0" applyFill="0" applyBorder="0" applyAlignment="0" applyProtection="0"/>
    <xf numFmtId="196" fontId="0" fillId="23" borderId="0" applyFont="0" applyFill="0" applyBorder="0" applyAlignment="0" applyProtection="0"/>
    <xf numFmtId="0" fontId="0" fillId="23" borderId="0" applyFont="0" applyFill="0" applyBorder="0" applyAlignment="0" applyProtection="0"/>
    <xf numFmtId="0" fontId="11" fillId="23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104" fillId="30" borderId="1" applyNumberFormat="0" applyAlignment="0" applyProtection="0"/>
    <xf numFmtId="0" fontId="9" fillId="23" borderId="0" applyProtection="0">
      <alignment/>
    </xf>
    <xf numFmtId="0" fontId="10" fillId="23" borderId="0" applyProtection="0">
      <alignment/>
    </xf>
    <xf numFmtId="2" fontId="0" fillId="23" borderId="0" applyFont="0" applyFill="0" applyBorder="0" applyAlignment="0" applyProtection="0"/>
    <xf numFmtId="0" fontId="2" fillId="2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5" fillId="31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7" fontId="106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7" fillId="32" borderId="0" applyNumberFormat="0" applyBorder="0" applyAlignment="0" applyProtection="0"/>
    <xf numFmtId="0" fontId="0" fillId="0" borderId="0">
      <alignment/>
      <protection/>
    </xf>
    <xf numFmtId="0" fontId="97" fillId="0" borderId="0">
      <alignment/>
      <protection/>
    </xf>
    <xf numFmtId="0" fontId="106" fillId="0" borderId="0">
      <alignment/>
      <protection/>
    </xf>
    <xf numFmtId="0" fontId="97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08" fillId="21" borderId="5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03" fillId="0" borderId="7" applyNumberFormat="0" applyFill="0" applyAlignment="0" applyProtection="0"/>
    <xf numFmtId="0" fontId="0" fillId="23" borderId="8" applyNumberFormat="0" applyFont="0" applyFill="0" applyAlignment="0" applyProtection="0"/>
  </cellStyleXfs>
  <cellXfs count="63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4" fontId="0" fillId="0" borderId="0" xfId="0" applyNumberFormat="1" applyFont="1" applyAlignment="1">
      <alignment/>
    </xf>
    <xf numFmtId="39" fontId="7" fillId="0" borderId="10" xfId="0" applyNumberFormat="1" applyFont="1" applyBorder="1" applyAlignment="1">
      <alignment horizontal="left" vertical="center" indent="2"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3" fontId="20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3" fontId="18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9" xfId="0" applyFont="1" applyBorder="1" applyAlignment="1">
      <alignment/>
    </xf>
    <xf numFmtId="4" fontId="1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4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98" fontId="1" fillId="0" borderId="0" xfId="0" applyNumberFormat="1" applyFont="1" applyFill="1" applyAlignment="1">
      <alignment/>
    </xf>
    <xf numFmtId="3" fontId="113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14" fillId="0" borderId="0" xfId="0" applyFont="1" applyAlignment="1">
      <alignment/>
    </xf>
    <xf numFmtId="4" fontId="115" fillId="0" borderId="0" xfId="0" applyNumberFormat="1" applyFont="1" applyAlignment="1">
      <alignment/>
    </xf>
    <xf numFmtId="4" fontId="114" fillId="0" borderId="0" xfId="0" applyNumberFormat="1" applyFont="1" applyAlignment="1">
      <alignment/>
    </xf>
    <xf numFmtId="3" fontId="116" fillId="0" borderId="0" xfId="0" applyNumberFormat="1" applyFont="1" applyAlignment="1">
      <alignment/>
    </xf>
    <xf numFmtId="3" fontId="117" fillId="0" borderId="0" xfId="0" applyNumberFormat="1" applyFont="1" applyFill="1" applyAlignment="1">
      <alignment/>
    </xf>
    <xf numFmtId="3" fontId="3" fillId="0" borderId="1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3" fontId="1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3" fontId="3" fillId="0" borderId="0" xfId="62" applyNumberFormat="1" applyFont="1" applyFill="1" applyBorder="1" applyAlignment="1">
      <alignment horizontal="center" vertical="center"/>
      <protection/>
    </xf>
    <xf numFmtId="3" fontId="2" fillId="0" borderId="11" xfId="62" applyNumberFormat="1" applyFont="1" applyBorder="1">
      <alignment/>
      <protection/>
    </xf>
    <xf numFmtId="3" fontId="2" fillId="0" borderId="0" xfId="62" applyNumberFormat="1" applyFont="1" applyBorder="1">
      <alignment/>
      <protection/>
    </xf>
    <xf numFmtId="3" fontId="3" fillId="0" borderId="0" xfId="62" applyNumberFormat="1" applyFont="1" applyFill="1" applyBorder="1">
      <alignment/>
      <protection/>
    </xf>
    <xf numFmtId="3" fontId="3" fillId="0" borderId="0" xfId="62" applyNumberFormat="1" applyFont="1" applyAlignment="1">
      <alignment vertical="center"/>
      <protection/>
    </xf>
    <xf numFmtId="3" fontId="3" fillId="0" borderId="0" xfId="62" applyNumberFormat="1" applyFont="1" applyFill="1" applyBorder="1" applyAlignment="1">
      <alignment vertical="center"/>
      <protection/>
    </xf>
    <xf numFmtId="3" fontId="2" fillId="0" borderId="10" xfId="62" applyNumberFormat="1" applyFont="1" applyBorder="1">
      <alignment/>
      <protection/>
    </xf>
    <xf numFmtId="3" fontId="3" fillId="0" borderId="0" xfId="62" applyNumberFormat="1" applyFont="1" applyFill="1" applyBorder="1" applyAlignment="1">
      <alignment horizontal="right" vertical="center"/>
      <protection/>
    </xf>
    <xf numFmtId="3" fontId="3" fillId="0" borderId="0" xfId="62" applyNumberFormat="1" applyFont="1" applyFill="1">
      <alignment/>
      <protection/>
    </xf>
    <xf numFmtId="3" fontId="4" fillId="0" borderId="0" xfId="62" applyNumberFormat="1" applyFont="1">
      <alignment/>
      <protection/>
    </xf>
    <xf numFmtId="3" fontId="18" fillId="0" borderId="11" xfId="62" applyNumberFormat="1" applyFont="1" applyBorder="1">
      <alignment/>
      <protection/>
    </xf>
    <xf numFmtId="3" fontId="18" fillId="0" borderId="0" xfId="62" applyNumberFormat="1" applyFont="1" applyBorder="1">
      <alignment/>
      <protection/>
    </xf>
    <xf numFmtId="3" fontId="18" fillId="0" borderId="10" xfId="62" applyNumberFormat="1" applyFont="1" applyBorder="1">
      <alignment/>
      <protection/>
    </xf>
    <xf numFmtId="3" fontId="4" fillId="0" borderId="0" xfId="62" applyNumberFormat="1" applyFont="1" applyFill="1" applyBorder="1">
      <alignment/>
      <protection/>
    </xf>
    <xf numFmtId="3" fontId="4" fillId="0" borderId="0" xfId="62" applyNumberFormat="1" applyFont="1" applyBorder="1">
      <alignment/>
      <protection/>
    </xf>
    <xf numFmtId="3" fontId="4" fillId="0" borderId="0" xfId="62" applyNumberFormat="1" applyFont="1" applyFill="1" applyBorder="1" applyAlignment="1">
      <alignment horizontal="right"/>
      <protection/>
    </xf>
    <xf numFmtId="3" fontId="4" fillId="0" borderId="0" xfId="62" applyNumberFormat="1" applyFont="1" applyFill="1">
      <alignment/>
      <protection/>
    </xf>
    <xf numFmtId="3" fontId="18" fillId="0" borderId="12" xfId="62" applyNumberFormat="1" applyFont="1" applyBorder="1">
      <alignment/>
      <protection/>
    </xf>
    <xf numFmtId="3" fontId="18" fillId="0" borderId="13" xfId="62" applyNumberFormat="1" applyFont="1" applyBorder="1">
      <alignment/>
      <protection/>
    </xf>
    <xf numFmtId="3" fontId="18" fillId="0" borderId="9" xfId="62" applyNumberFormat="1" applyFont="1" applyBorder="1">
      <alignment/>
      <protection/>
    </xf>
    <xf numFmtId="3" fontId="15" fillId="0" borderId="0" xfId="62" applyNumberFormat="1" applyFont="1">
      <alignment/>
      <protection/>
    </xf>
    <xf numFmtId="3" fontId="15" fillId="0" borderId="0" xfId="62" applyNumberFormat="1" applyFont="1" applyBorder="1">
      <alignment/>
      <protection/>
    </xf>
    <xf numFmtId="3" fontId="16" fillId="0" borderId="0" xfId="62" applyNumberFormat="1" applyFont="1">
      <alignment/>
      <protection/>
    </xf>
    <xf numFmtId="3" fontId="0" fillId="0" borderId="0" xfId="62" applyNumberFormat="1" applyFont="1">
      <alignment/>
      <protection/>
    </xf>
    <xf numFmtId="3" fontId="0" fillId="0" borderId="0" xfId="62" applyNumberFormat="1" applyFont="1" applyBorder="1">
      <alignment/>
      <protection/>
    </xf>
    <xf numFmtId="3" fontId="0" fillId="0" borderId="0" xfId="62" applyNumberFormat="1">
      <alignment/>
      <protection/>
    </xf>
    <xf numFmtId="3" fontId="0" fillId="0" borderId="0" xfId="62" applyNumberFormat="1" applyBorder="1">
      <alignment/>
      <protection/>
    </xf>
    <xf numFmtId="3" fontId="18" fillId="0" borderId="0" xfId="62" applyNumberFormat="1" applyFont="1" applyFill="1" applyBorder="1">
      <alignment/>
      <protection/>
    </xf>
    <xf numFmtId="3" fontId="18" fillId="0" borderId="13" xfId="62" applyNumberFormat="1" applyFont="1" applyBorder="1" quotePrefix="1">
      <alignment/>
      <protection/>
    </xf>
    <xf numFmtId="3" fontId="4" fillId="0" borderId="0" xfId="62" applyNumberFormat="1" applyFont="1" applyBorder="1" quotePrefix="1">
      <alignment/>
      <protection/>
    </xf>
    <xf numFmtId="3" fontId="15" fillId="0" borderId="0" xfId="62" applyNumberFormat="1" applyFont="1" applyBorder="1" quotePrefix="1">
      <alignment/>
      <protection/>
    </xf>
    <xf numFmtId="0" fontId="118" fillId="0" borderId="0" xfId="0" applyFont="1" applyAlignment="1">
      <alignment/>
    </xf>
    <xf numFmtId="0" fontId="113" fillId="0" borderId="0" xfId="0" applyFont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2" fillId="13" borderId="16" xfId="0" applyNumberFormat="1" applyFont="1" applyFill="1" applyBorder="1" applyAlignment="1">
      <alignment horizontal="center" vertical="center"/>
    </xf>
    <xf numFmtId="3" fontId="2" fillId="13" borderId="17" xfId="0" applyNumberFormat="1" applyFont="1" applyFill="1" applyBorder="1" applyAlignment="1">
      <alignment horizontal="center" vertical="center"/>
    </xf>
    <xf numFmtId="3" fontId="3" fillId="13" borderId="18" xfId="0" applyNumberFormat="1" applyFont="1" applyFill="1" applyBorder="1" applyAlignment="1">
      <alignment/>
    </xf>
    <xf numFmtId="3" fontId="2" fillId="13" borderId="0" xfId="0" applyNumberFormat="1" applyFont="1" applyFill="1" applyBorder="1" applyAlignment="1">
      <alignment horizontal="right" vertical="center"/>
    </xf>
    <xf numFmtId="3" fontId="3" fillId="13" borderId="10" xfId="0" applyNumberFormat="1" applyFont="1" applyFill="1" applyBorder="1" applyAlignment="1">
      <alignment vertical="center"/>
    </xf>
    <xf numFmtId="3" fontId="2" fillId="13" borderId="11" xfId="0" applyNumberFormat="1" applyFont="1" applyFill="1" applyBorder="1" applyAlignment="1">
      <alignment vertical="center"/>
    </xf>
    <xf numFmtId="3" fontId="2" fillId="13" borderId="0" xfId="0" applyNumberFormat="1" applyFont="1" applyFill="1" applyBorder="1" applyAlignment="1">
      <alignment vertical="center"/>
    </xf>
    <xf numFmtId="3" fontId="116" fillId="0" borderId="0" xfId="0" applyNumberFormat="1" applyFont="1" applyAlignment="1">
      <alignment horizontal="right"/>
    </xf>
    <xf numFmtId="4" fontId="119" fillId="0" borderId="0" xfId="0" applyNumberFormat="1" applyFont="1" applyAlignment="1">
      <alignment/>
    </xf>
    <xf numFmtId="4" fontId="116" fillId="0" borderId="0" xfId="0" applyNumberFormat="1" applyFont="1" applyAlignment="1">
      <alignment/>
    </xf>
    <xf numFmtId="3" fontId="2" fillId="13" borderId="16" xfId="62" applyNumberFormat="1" applyFont="1" applyFill="1" applyBorder="1" applyAlignment="1">
      <alignment horizontal="center" vertical="center"/>
      <protection/>
    </xf>
    <xf numFmtId="3" fontId="2" fillId="13" borderId="10" xfId="62" applyNumberFormat="1" applyFont="1" applyFill="1" applyBorder="1">
      <alignment/>
      <protection/>
    </xf>
    <xf numFmtId="0" fontId="2" fillId="13" borderId="16" xfId="0" applyFont="1" applyFill="1" applyBorder="1" applyAlignment="1">
      <alignment horizontal="center" vertical="center"/>
    </xf>
    <xf numFmtId="3" fontId="2" fillId="13" borderId="0" xfId="0" applyNumberFormat="1" applyFont="1" applyFill="1" applyBorder="1" applyAlignment="1">
      <alignment horizontal="right"/>
    </xf>
    <xf numFmtId="0" fontId="2" fillId="13" borderId="10" xfId="0" applyFont="1" applyFill="1" applyBorder="1" applyAlignment="1">
      <alignment/>
    </xf>
    <xf numFmtId="3" fontId="21" fillId="0" borderId="0" xfId="0" applyNumberFormat="1" applyFont="1" applyAlignment="1">
      <alignment/>
    </xf>
    <xf numFmtId="4" fontId="2" fillId="13" borderId="19" xfId="0" applyNumberFormat="1" applyFont="1" applyFill="1" applyBorder="1" applyAlignment="1">
      <alignment horizontal="center" vertical="center"/>
    </xf>
    <xf numFmtId="4" fontId="2" fillId="13" borderId="10" xfId="0" applyNumberFormat="1" applyFont="1" applyFill="1" applyBorder="1" applyAlignment="1">
      <alignment/>
    </xf>
    <xf numFmtId="4" fontId="2" fillId="13" borderId="11" xfId="0" applyNumberFormat="1" applyFont="1" applyFill="1" applyBorder="1" applyAlignment="1">
      <alignment/>
    </xf>
    <xf numFmtId="4" fontId="2" fillId="13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18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4" fontId="18" fillId="0" borderId="9" xfId="0" applyNumberFormat="1" applyFont="1" applyBorder="1" applyAlignment="1">
      <alignment/>
    </xf>
    <xf numFmtId="4" fontId="18" fillId="0" borderId="13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18" fillId="0" borderId="0" xfId="0" applyNumberFormat="1" applyFont="1" applyFill="1" applyAlignment="1">
      <alignment/>
    </xf>
    <xf numFmtId="3" fontId="18" fillId="0" borderId="13" xfId="62" applyNumberFormat="1" applyFont="1" applyBorder="1" applyAlignment="1">
      <alignment horizontal="right"/>
      <protection/>
    </xf>
    <xf numFmtId="0" fontId="120" fillId="0" borderId="0" xfId="0" applyFont="1" applyAlignment="1">
      <alignment/>
    </xf>
    <xf numFmtId="4" fontId="120" fillId="0" borderId="0" xfId="0" applyNumberFormat="1" applyFont="1" applyAlignment="1">
      <alignment/>
    </xf>
    <xf numFmtId="0" fontId="115" fillId="0" borderId="0" xfId="0" applyFont="1" applyAlignment="1">
      <alignment/>
    </xf>
    <xf numFmtId="4" fontId="113" fillId="0" borderId="0" xfId="0" applyNumberFormat="1" applyFont="1" applyAlignment="1">
      <alignment/>
    </xf>
    <xf numFmtId="0" fontId="121" fillId="0" borderId="0" xfId="0" applyFont="1" applyAlignment="1">
      <alignment/>
    </xf>
    <xf numFmtId="3" fontId="18" fillId="0" borderId="11" xfId="62" applyNumberFormat="1" applyFont="1" applyFill="1" applyBorder="1">
      <alignment/>
      <protection/>
    </xf>
    <xf numFmtId="3" fontId="18" fillId="0" borderId="10" xfId="62" applyNumberFormat="1" applyFont="1" applyFill="1" applyBorder="1">
      <alignment/>
      <protection/>
    </xf>
    <xf numFmtId="3" fontId="18" fillId="0" borderId="0" xfId="0" applyNumberFormat="1" applyFont="1" applyFill="1" applyBorder="1" applyAlignment="1">
      <alignment horizontal="right"/>
    </xf>
    <xf numFmtId="0" fontId="122" fillId="0" borderId="0" xfId="0" applyFont="1" applyAlignment="1">
      <alignment/>
    </xf>
    <xf numFmtId="3" fontId="18" fillId="0" borderId="11" xfId="0" applyNumberFormat="1" applyFont="1" applyFill="1" applyBorder="1" applyAlignment="1">
      <alignment/>
    </xf>
    <xf numFmtId="3" fontId="123" fillId="0" borderId="0" xfId="0" applyNumberFormat="1" applyFont="1" applyFill="1" applyAlignment="1">
      <alignment/>
    </xf>
    <xf numFmtId="3" fontId="120" fillId="0" borderId="0" xfId="0" applyNumberFormat="1" applyFont="1" applyFill="1" applyAlignment="1">
      <alignment/>
    </xf>
    <xf numFmtId="3" fontId="115" fillId="0" borderId="0" xfId="0" applyNumberFormat="1" applyFont="1" applyFill="1" applyAlignment="1">
      <alignment/>
    </xf>
    <xf numFmtId="3" fontId="121" fillId="0" borderId="0" xfId="0" applyNumberFormat="1" applyFont="1" applyFill="1" applyAlignment="1">
      <alignment/>
    </xf>
    <xf numFmtId="3" fontId="124" fillId="0" borderId="0" xfId="0" applyNumberFormat="1" applyFont="1" applyFill="1" applyAlignment="1">
      <alignment vertical="center"/>
    </xf>
    <xf numFmtId="3" fontId="124" fillId="0" borderId="0" xfId="0" applyNumberFormat="1" applyFont="1" applyFill="1" applyAlignment="1">
      <alignment/>
    </xf>
    <xf numFmtId="3" fontId="120" fillId="0" borderId="0" xfId="0" applyNumberFormat="1" applyFont="1" applyFill="1" applyAlignment="1">
      <alignment vertical="center"/>
    </xf>
    <xf numFmtId="4" fontId="120" fillId="0" borderId="0" xfId="0" applyNumberFormat="1" applyFont="1" applyFill="1" applyAlignment="1">
      <alignment/>
    </xf>
    <xf numFmtId="3" fontId="113" fillId="0" borderId="0" xfId="0" applyNumberFormat="1" applyFont="1" applyFill="1" applyAlignment="1">
      <alignment/>
    </xf>
    <xf numFmtId="3" fontId="118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2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125" fillId="34" borderId="0" xfId="0" applyFont="1" applyFill="1" applyBorder="1" applyAlignment="1">
      <alignment/>
    </xf>
    <xf numFmtId="0" fontId="114" fillId="34" borderId="0" xfId="0" applyFont="1" applyFill="1" applyBorder="1" applyAlignment="1">
      <alignment/>
    </xf>
    <xf numFmtId="0" fontId="125" fillId="34" borderId="0" xfId="0" applyFont="1" applyFill="1" applyBorder="1" applyAlignment="1">
      <alignment vertical="center"/>
    </xf>
    <xf numFmtId="0" fontId="126" fillId="34" borderId="0" xfId="0" applyFont="1" applyFill="1" applyBorder="1" applyAlignment="1">
      <alignment vertical="center"/>
    </xf>
    <xf numFmtId="0" fontId="126" fillId="34" borderId="0" xfId="0" applyFont="1" applyFill="1" applyBorder="1" applyAlignment="1">
      <alignment/>
    </xf>
    <xf numFmtId="0" fontId="101" fillId="35" borderId="0" xfId="0" applyFont="1" applyFill="1" applyBorder="1" applyAlignment="1">
      <alignment/>
    </xf>
    <xf numFmtId="0" fontId="127" fillId="34" borderId="0" xfId="0" applyFont="1" applyFill="1" applyBorder="1" applyAlignment="1">
      <alignment/>
    </xf>
    <xf numFmtId="0" fontId="115" fillId="34" borderId="0" xfId="0" applyFont="1" applyFill="1" applyBorder="1" applyAlignment="1">
      <alignment horizontal="left"/>
    </xf>
    <xf numFmtId="3" fontId="115" fillId="34" borderId="0" xfId="0" applyNumberFormat="1" applyFont="1" applyFill="1" applyBorder="1" applyAlignment="1">
      <alignment/>
    </xf>
    <xf numFmtId="0" fontId="115" fillId="34" borderId="0" xfId="0" applyFont="1" applyFill="1" applyBorder="1" applyAlignment="1">
      <alignment/>
    </xf>
    <xf numFmtId="0" fontId="128" fillId="34" borderId="0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9" xfId="0" applyFont="1" applyBorder="1" applyAlignment="1">
      <alignment/>
    </xf>
    <xf numFmtId="4" fontId="0" fillId="0" borderId="0" xfId="0" applyNumberFormat="1" applyFill="1" applyAlignment="1">
      <alignment/>
    </xf>
    <xf numFmtId="3" fontId="1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0" applyFont="1" applyAlignment="1">
      <alignment/>
    </xf>
    <xf numFmtId="202" fontId="4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/>
    </xf>
    <xf numFmtId="3" fontId="129" fillId="0" borderId="0" xfId="0" applyNumberFormat="1" applyFont="1" applyFill="1" applyAlignment="1">
      <alignment/>
    </xf>
    <xf numFmtId="3" fontId="130" fillId="0" borderId="0" xfId="0" applyNumberFormat="1" applyFont="1" applyFill="1" applyAlignment="1">
      <alignment/>
    </xf>
    <xf numFmtId="3" fontId="129" fillId="0" borderId="0" xfId="0" applyNumberFormat="1" applyFont="1" applyFill="1" applyAlignment="1">
      <alignment vertical="center"/>
    </xf>
    <xf numFmtId="3" fontId="131" fillId="0" borderId="0" xfId="0" applyNumberFormat="1" applyFont="1" applyFill="1" applyAlignment="1">
      <alignment vertical="center"/>
    </xf>
    <xf numFmtId="3" fontId="131" fillId="0" borderId="0" xfId="0" applyNumberFormat="1" applyFont="1" applyFill="1" applyAlignment="1">
      <alignment/>
    </xf>
    <xf numFmtId="194" fontId="129" fillId="0" borderId="0" xfId="0" applyNumberFormat="1" applyFont="1" applyFill="1" applyAlignment="1">
      <alignment vertical="center"/>
    </xf>
    <xf numFmtId="3" fontId="119" fillId="0" borderId="0" xfId="0" applyNumberFormat="1" applyFont="1" applyFill="1" applyAlignment="1">
      <alignment/>
    </xf>
    <xf numFmtId="4" fontId="117" fillId="0" borderId="0" xfId="0" applyNumberFormat="1" applyFont="1" applyFill="1" applyAlignment="1">
      <alignment vertical="center"/>
    </xf>
    <xf numFmtId="3" fontId="117" fillId="0" borderId="0" xfId="0" applyNumberFormat="1" applyFont="1" applyFill="1" applyAlignment="1">
      <alignment vertical="center"/>
    </xf>
    <xf numFmtId="3" fontId="119" fillId="0" borderId="0" xfId="0" applyNumberFormat="1" applyFont="1" applyFill="1" applyAlignment="1">
      <alignment vertical="center"/>
    </xf>
    <xf numFmtId="4" fontId="119" fillId="0" borderId="0" xfId="0" applyNumberFormat="1" applyFont="1" applyFill="1" applyAlignment="1">
      <alignment/>
    </xf>
    <xf numFmtId="3" fontId="119" fillId="0" borderId="0" xfId="67" applyNumberFormat="1" applyFont="1" applyFill="1" applyAlignment="1">
      <alignment/>
    </xf>
    <xf numFmtId="3" fontId="116" fillId="0" borderId="0" xfId="0" applyNumberFormat="1" applyFont="1" applyFill="1" applyAlignment="1">
      <alignment/>
    </xf>
    <xf numFmtId="3" fontId="132" fillId="0" borderId="0" xfId="0" applyNumberFormat="1" applyFont="1" applyFill="1" applyAlignment="1">
      <alignment/>
    </xf>
    <xf numFmtId="4" fontId="117" fillId="0" borderId="0" xfId="0" applyNumberFormat="1" applyFont="1" applyFill="1" applyAlignment="1">
      <alignment/>
    </xf>
    <xf numFmtId="195" fontId="119" fillId="0" borderId="0" xfId="0" applyNumberFormat="1" applyFont="1" applyFill="1" applyAlignment="1">
      <alignment/>
    </xf>
    <xf numFmtId="4" fontId="116" fillId="0" borderId="0" xfId="0" applyNumberFormat="1" applyFont="1" applyFill="1" applyAlignment="1">
      <alignment/>
    </xf>
    <xf numFmtId="0" fontId="133" fillId="0" borderId="0" xfId="65" applyFont="1" applyAlignment="1">
      <alignment vertical="center"/>
      <protection/>
    </xf>
    <xf numFmtId="3" fontId="128" fillId="0" borderId="0" xfId="0" applyNumberFormat="1" applyFont="1" applyFill="1" applyAlignment="1">
      <alignment/>
    </xf>
    <xf numFmtId="0" fontId="134" fillId="0" borderId="0" xfId="0" applyFont="1" applyAlignment="1">
      <alignment/>
    </xf>
    <xf numFmtId="0" fontId="128" fillId="0" borderId="0" xfId="0" applyFont="1" applyAlignment="1">
      <alignment/>
    </xf>
    <xf numFmtId="4" fontId="128" fillId="0" borderId="0" xfId="0" applyNumberFormat="1" applyFont="1" applyAlignment="1">
      <alignment/>
    </xf>
    <xf numFmtId="0" fontId="135" fillId="0" borderId="0" xfId="63" applyFont="1" applyAlignment="1">
      <alignment vertical="center"/>
      <protection/>
    </xf>
    <xf numFmtId="3" fontId="115" fillId="0" borderId="0" xfId="0" applyNumberFormat="1" applyFont="1" applyAlignment="1">
      <alignment/>
    </xf>
    <xf numFmtId="0" fontId="115" fillId="0" borderId="0" xfId="0" applyFont="1" applyAlignment="1">
      <alignment horizontal="right"/>
    </xf>
    <xf numFmtId="1" fontId="115" fillId="0" borderId="0" xfId="0" applyNumberFormat="1" applyFont="1" applyAlignment="1">
      <alignment/>
    </xf>
    <xf numFmtId="3" fontId="136" fillId="0" borderId="0" xfId="0" applyNumberFormat="1" applyFont="1" applyFill="1" applyAlignment="1">
      <alignment vertical="center"/>
    </xf>
    <xf numFmtId="4" fontId="2" fillId="13" borderId="16" xfId="0" applyNumberFormat="1" applyFont="1" applyFill="1" applyBorder="1" applyAlignment="1">
      <alignment horizontal="center" vertical="center"/>
    </xf>
    <xf numFmtId="4" fontId="2" fillId="13" borderId="20" xfId="0" applyNumberFormat="1" applyFont="1" applyFill="1" applyBorder="1" applyAlignment="1">
      <alignment horizontal="center" vertical="center"/>
    </xf>
    <xf numFmtId="4" fontId="2" fillId="13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4" fontId="18" fillId="0" borderId="13" xfId="0" applyNumberFormat="1" applyFont="1" applyBorder="1" applyAlignment="1">
      <alignment/>
    </xf>
    <xf numFmtId="0" fontId="18" fillId="0" borderId="9" xfId="0" applyFont="1" applyBorder="1" applyAlignment="1">
      <alignment/>
    </xf>
    <xf numFmtId="4" fontId="15" fillId="0" borderId="0" xfId="0" applyNumberFormat="1" applyFont="1" applyAlignment="1">
      <alignment/>
    </xf>
    <xf numFmtId="3" fontId="2" fillId="13" borderId="20" xfId="62" applyNumberFormat="1" applyFont="1" applyFill="1" applyBorder="1" applyAlignment="1">
      <alignment horizontal="center" vertical="center"/>
      <protection/>
    </xf>
    <xf numFmtId="3" fontId="2" fillId="13" borderId="21" xfId="62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0" fontId="119" fillId="0" borderId="0" xfId="0" applyFont="1" applyFill="1" applyAlignment="1">
      <alignment/>
    </xf>
    <xf numFmtId="3" fontId="123" fillId="0" borderId="0" xfId="0" applyNumberFormat="1" applyFont="1" applyFill="1" applyAlignment="1">
      <alignment vertical="center"/>
    </xf>
    <xf numFmtId="4" fontId="137" fillId="0" borderId="0" xfId="0" applyNumberFormat="1" applyFont="1" applyFill="1" applyAlignment="1">
      <alignment/>
    </xf>
    <xf numFmtId="3" fontId="2" fillId="13" borderId="16" xfId="62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1" fontId="18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29" fillId="0" borderId="0" xfId="0" applyFont="1" applyFill="1" applyAlignment="1">
      <alignment/>
    </xf>
    <xf numFmtId="3" fontId="138" fillId="0" borderId="0" xfId="0" applyNumberFormat="1" applyFont="1" applyFill="1" applyAlignment="1">
      <alignment/>
    </xf>
    <xf numFmtId="3" fontId="117" fillId="0" borderId="0" xfId="0" applyNumberFormat="1" applyFont="1" applyFill="1" applyAlignment="1">
      <alignment horizontal="center"/>
    </xf>
    <xf numFmtId="4" fontId="117" fillId="0" borderId="0" xfId="0" applyNumberFormat="1" applyFont="1" applyFill="1" applyAlignment="1">
      <alignment horizontal="right"/>
    </xf>
    <xf numFmtId="195" fontId="117" fillId="0" borderId="0" xfId="0" applyNumberFormat="1" applyFont="1" applyFill="1" applyAlignment="1">
      <alignment/>
    </xf>
    <xf numFmtId="200" fontId="117" fillId="0" borderId="0" xfId="0" applyNumberFormat="1" applyFont="1" applyFill="1" applyAlignment="1">
      <alignment/>
    </xf>
    <xf numFmtId="3" fontId="4" fillId="0" borderId="0" xfId="62" applyNumberFormat="1" applyFont="1" applyFill="1" applyAlignment="1">
      <alignment horizontal="right"/>
      <protection/>
    </xf>
    <xf numFmtId="3" fontId="139" fillId="0" borderId="0" xfId="0" applyNumberFormat="1" applyFont="1" applyFill="1" applyAlignment="1">
      <alignment/>
    </xf>
    <xf numFmtId="3" fontId="140" fillId="0" borderId="0" xfId="0" applyNumberFormat="1" applyFont="1" applyFill="1" applyAlignment="1">
      <alignment horizontal="center"/>
    </xf>
    <xf numFmtId="3" fontId="141" fillId="0" borderId="0" xfId="0" applyNumberFormat="1" applyFont="1" applyFill="1" applyAlignment="1">
      <alignment horizontal="center"/>
    </xf>
    <xf numFmtId="3" fontId="14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4" fontId="127" fillId="0" borderId="0" xfId="0" applyNumberFormat="1" applyFont="1" applyBorder="1" applyAlignment="1">
      <alignment/>
    </xf>
    <xf numFmtId="4" fontId="127" fillId="0" borderId="0" xfId="0" applyNumberFormat="1" applyFont="1" applyBorder="1" applyAlignment="1">
      <alignment horizontal="right"/>
    </xf>
    <xf numFmtId="4" fontId="127" fillId="0" borderId="0" xfId="0" applyNumberFormat="1" applyFont="1" applyAlignment="1">
      <alignment/>
    </xf>
    <xf numFmtId="10" fontId="114" fillId="0" borderId="0" xfId="67" applyNumberFormat="1" applyFont="1" applyAlignment="1">
      <alignment/>
    </xf>
    <xf numFmtId="4" fontId="128" fillId="0" borderId="0" xfId="0" applyNumberFormat="1" applyFont="1" applyAlignment="1">
      <alignment horizontal="right"/>
    </xf>
    <xf numFmtId="0" fontId="128" fillId="0" borderId="0" xfId="0" applyFont="1" applyAlignment="1">
      <alignment horizontal="right"/>
    </xf>
    <xf numFmtId="0" fontId="0" fillId="0" borderId="0" xfId="0" applyFont="1" applyFill="1" applyAlignment="1">
      <alignment/>
    </xf>
    <xf numFmtId="3" fontId="138" fillId="0" borderId="0" xfId="0" applyNumberFormat="1" applyFont="1" applyFill="1" applyAlignment="1">
      <alignment horizontal="center"/>
    </xf>
    <xf numFmtId="3" fontId="115" fillId="0" borderId="0" xfId="0" applyNumberFormat="1" applyFont="1" applyFill="1" applyAlignment="1">
      <alignment horizontal="center"/>
    </xf>
    <xf numFmtId="0" fontId="115" fillId="0" borderId="0" xfId="0" applyFont="1" applyFill="1" applyAlignment="1">
      <alignment/>
    </xf>
    <xf numFmtId="10" fontId="19" fillId="0" borderId="0" xfId="67" applyNumberFormat="1" applyFont="1" applyAlignment="1">
      <alignment/>
    </xf>
    <xf numFmtId="0" fontId="106" fillId="0" borderId="0" xfId="0" applyFont="1" applyAlignment="1">
      <alignment/>
    </xf>
    <xf numFmtId="0" fontId="106" fillId="0" borderId="0" xfId="0" applyFont="1" applyAlignment="1">
      <alignment horizontal="right"/>
    </xf>
    <xf numFmtId="3" fontId="106" fillId="0" borderId="0" xfId="0" applyNumberFormat="1" applyFont="1" applyAlignment="1">
      <alignment horizontal="right"/>
    </xf>
    <xf numFmtId="3" fontId="113" fillId="0" borderId="0" xfId="62" applyNumberFormat="1" applyFont="1">
      <alignment/>
      <protection/>
    </xf>
    <xf numFmtId="3" fontId="113" fillId="0" borderId="0" xfId="62" applyNumberFormat="1" applyFont="1" applyFill="1">
      <alignment/>
      <protection/>
    </xf>
    <xf numFmtId="3" fontId="113" fillId="0" borderId="0" xfId="62" applyNumberFormat="1" applyFont="1" applyBorder="1">
      <alignment/>
      <protection/>
    </xf>
    <xf numFmtId="4" fontId="120" fillId="0" borderId="0" xfId="62" applyNumberFormat="1" applyFont="1" applyBorder="1">
      <alignment/>
      <protection/>
    </xf>
    <xf numFmtId="3" fontId="120" fillId="0" borderId="0" xfId="62" applyNumberFormat="1" applyFont="1" applyFill="1" applyBorder="1" applyAlignment="1">
      <alignment horizontal="right"/>
      <protection/>
    </xf>
    <xf numFmtId="3" fontId="113" fillId="0" borderId="0" xfId="62" applyNumberFormat="1" applyFont="1" applyFill="1" applyBorder="1">
      <alignment/>
      <protection/>
    </xf>
    <xf numFmtId="3" fontId="121" fillId="0" borderId="0" xfId="62" applyNumberFormat="1" applyFont="1">
      <alignment/>
      <protection/>
    </xf>
    <xf numFmtId="0" fontId="124" fillId="0" borderId="0" xfId="62" applyFont="1" applyBorder="1" applyAlignment="1">
      <alignment vertical="center"/>
      <protection/>
    </xf>
    <xf numFmtId="0" fontId="124" fillId="0" borderId="0" xfId="62" applyFont="1" applyBorder="1">
      <alignment/>
      <protection/>
    </xf>
    <xf numFmtId="3" fontId="124" fillId="0" borderId="0" xfId="62" applyNumberFormat="1" applyFont="1" applyFill="1" applyBorder="1">
      <alignment/>
      <protection/>
    </xf>
    <xf numFmtId="3" fontId="124" fillId="0" borderId="0" xfId="62" applyNumberFormat="1" applyFont="1">
      <alignment/>
      <protection/>
    </xf>
    <xf numFmtId="3" fontId="124" fillId="0" borderId="0" xfId="62" applyNumberFormat="1" applyFont="1" applyBorder="1">
      <alignment/>
      <protection/>
    </xf>
    <xf numFmtId="0" fontId="124" fillId="0" borderId="0" xfId="62" applyFont="1" applyFill="1">
      <alignment/>
      <protection/>
    </xf>
    <xf numFmtId="3" fontId="124" fillId="0" borderId="0" xfId="62" applyNumberFormat="1" applyFont="1" applyBorder="1" applyAlignment="1">
      <alignment vertical="center"/>
      <protection/>
    </xf>
    <xf numFmtId="3" fontId="124" fillId="0" borderId="0" xfId="62" applyNumberFormat="1" applyFont="1" applyAlignment="1">
      <alignment vertical="center"/>
      <protection/>
    </xf>
    <xf numFmtId="4" fontId="124" fillId="0" borderId="0" xfId="62" applyNumberFormat="1" applyFont="1" applyFill="1" applyBorder="1" applyAlignment="1">
      <alignment vertical="center"/>
      <protection/>
    </xf>
    <xf numFmtId="0" fontId="120" fillId="0" borderId="0" xfId="62" applyFont="1">
      <alignment/>
      <protection/>
    </xf>
    <xf numFmtId="3" fontId="142" fillId="0" borderId="0" xfId="0" applyNumberFormat="1" applyFont="1" applyFill="1" applyBorder="1" applyAlignment="1">
      <alignment/>
    </xf>
    <xf numFmtId="3" fontId="124" fillId="0" borderId="0" xfId="62" applyNumberFormat="1" applyFont="1" applyFill="1">
      <alignment/>
      <protection/>
    </xf>
    <xf numFmtId="0" fontId="142" fillId="0" borderId="0" xfId="0" applyFont="1" applyFill="1" applyBorder="1" applyAlignment="1">
      <alignment/>
    </xf>
    <xf numFmtId="3" fontId="120" fillId="0" borderId="0" xfId="62" applyNumberFormat="1" applyFont="1">
      <alignment/>
      <protection/>
    </xf>
    <xf numFmtId="3" fontId="120" fillId="0" borderId="0" xfId="62" applyNumberFormat="1" applyFont="1" applyBorder="1">
      <alignment/>
      <protection/>
    </xf>
    <xf numFmtId="0" fontId="120" fillId="0" borderId="0" xfId="62" applyFont="1" applyFill="1">
      <alignment/>
      <protection/>
    </xf>
    <xf numFmtId="3" fontId="120" fillId="0" borderId="0" xfId="62" applyNumberFormat="1" applyFont="1" applyFill="1">
      <alignment/>
      <protection/>
    </xf>
    <xf numFmtId="3" fontId="120" fillId="0" borderId="0" xfId="62" applyNumberFormat="1" applyFont="1" applyFill="1" applyBorder="1">
      <alignment/>
      <protection/>
    </xf>
    <xf numFmtId="4" fontId="120" fillId="0" borderId="0" xfId="62" applyNumberFormat="1" applyFont="1" applyFill="1" applyBorder="1">
      <alignment/>
      <protection/>
    </xf>
    <xf numFmtId="0" fontId="120" fillId="0" borderId="0" xfId="62" applyFont="1" applyBorder="1">
      <alignment/>
      <protection/>
    </xf>
    <xf numFmtId="203" fontId="120" fillId="0" borderId="0" xfId="62" applyNumberFormat="1" applyFont="1" applyFill="1" applyBorder="1">
      <alignment/>
      <protection/>
    </xf>
    <xf numFmtId="3" fontId="124" fillId="0" borderId="0" xfId="62" applyNumberFormat="1" applyFont="1" applyFill="1" applyAlignment="1">
      <alignment vertical="center"/>
      <protection/>
    </xf>
    <xf numFmtId="3" fontId="118" fillId="0" borderId="0" xfId="62" applyNumberFormat="1" applyFont="1" applyFill="1" applyBorder="1">
      <alignment/>
      <protection/>
    </xf>
    <xf numFmtId="3" fontId="118" fillId="0" borderId="0" xfId="62" applyNumberFormat="1" applyFont="1">
      <alignment/>
      <protection/>
    </xf>
    <xf numFmtId="4" fontId="120" fillId="0" borderId="0" xfId="62" applyNumberFormat="1" applyFont="1">
      <alignment/>
      <protection/>
    </xf>
    <xf numFmtId="3" fontId="136" fillId="0" borderId="0" xfId="62" applyNumberFormat="1" applyFont="1" applyFill="1" applyAlignment="1">
      <alignment horizontal="center"/>
      <protection/>
    </xf>
    <xf numFmtId="3" fontId="121" fillId="0" borderId="0" xfId="62" applyNumberFormat="1" applyFont="1" applyFill="1">
      <alignment/>
      <protection/>
    </xf>
    <xf numFmtId="3" fontId="124" fillId="0" borderId="0" xfId="62" applyNumberFormat="1" applyFont="1" applyFill="1" applyBorder="1" applyAlignment="1">
      <alignment horizontal="center" vertical="center"/>
      <protection/>
    </xf>
    <xf numFmtId="4" fontId="120" fillId="0" borderId="0" xfId="0" applyNumberFormat="1" applyFont="1" applyBorder="1" applyAlignment="1">
      <alignment/>
    </xf>
    <xf numFmtId="4" fontId="120" fillId="0" borderId="0" xfId="0" applyNumberFormat="1" applyFont="1" applyBorder="1" applyAlignment="1">
      <alignment horizontal="right"/>
    </xf>
    <xf numFmtId="201" fontId="4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Border="1" applyAlignment="1">
      <alignment/>
    </xf>
    <xf numFmtId="194" fontId="15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194" fontId="1" fillId="34" borderId="0" xfId="0" applyNumberFormat="1" applyFont="1" applyFill="1" applyAlignment="1">
      <alignment/>
    </xf>
    <xf numFmtId="194" fontId="0" fillId="34" borderId="0" xfId="0" applyNumberFormat="1" applyFont="1" applyFill="1" applyAlignment="1">
      <alignment/>
    </xf>
    <xf numFmtId="194" fontId="0" fillId="0" borderId="0" xfId="0" applyNumberFormat="1" applyAlignment="1">
      <alignment/>
    </xf>
    <xf numFmtId="194" fontId="113" fillId="0" borderId="0" xfId="0" applyNumberFormat="1" applyFont="1" applyAlignment="1">
      <alignment/>
    </xf>
    <xf numFmtId="3" fontId="3" fillId="0" borderId="0" xfId="62" applyNumberFormat="1" applyFont="1" applyAlignment="1">
      <alignment horizontal="center"/>
      <protection/>
    </xf>
    <xf numFmtId="3" fontId="3" fillId="0" borderId="0" xfId="62" applyNumberFormat="1" applyFont="1" applyFill="1" applyAlignment="1">
      <alignment horizontal="center"/>
      <protection/>
    </xf>
    <xf numFmtId="0" fontId="120" fillId="0" borderId="0" xfId="0" applyFont="1" applyFill="1" applyBorder="1" applyAlignment="1">
      <alignment/>
    </xf>
    <xf numFmtId="3" fontId="3" fillId="0" borderId="0" xfId="62" applyNumberFormat="1" applyFont="1" applyAlignment="1">
      <alignment/>
      <protection/>
    </xf>
    <xf numFmtId="4" fontId="3" fillId="13" borderId="20" xfId="62" applyNumberFormat="1" applyFont="1" applyFill="1" applyBorder="1" applyAlignment="1">
      <alignment horizontal="center" vertical="center"/>
      <protection/>
    </xf>
    <xf numFmtId="4" fontId="3" fillId="13" borderId="21" xfId="62" applyNumberFormat="1" applyFont="1" applyFill="1" applyBorder="1" applyAlignment="1">
      <alignment horizontal="center" vertical="center"/>
      <protection/>
    </xf>
    <xf numFmtId="3" fontId="3" fillId="13" borderId="16" xfId="62" applyNumberFormat="1" applyFont="1" applyFill="1" applyBorder="1" applyAlignment="1">
      <alignment horizontal="center" vertical="center"/>
      <protection/>
    </xf>
    <xf numFmtId="0" fontId="109" fillId="0" borderId="0" xfId="0" applyFont="1" applyFill="1" applyBorder="1" applyAlignment="1">
      <alignment/>
    </xf>
    <xf numFmtId="3" fontId="3" fillId="0" borderId="11" xfId="62" applyNumberFormat="1" applyFont="1" applyBorder="1">
      <alignment/>
      <protection/>
    </xf>
    <xf numFmtId="3" fontId="3" fillId="0" borderId="0" xfId="62" applyNumberFormat="1" applyFont="1" applyBorder="1">
      <alignment/>
      <protection/>
    </xf>
    <xf numFmtId="4" fontId="3" fillId="0" borderId="0" xfId="62" applyNumberFormat="1" applyFont="1" applyBorder="1">
      <alignment/>
      <protection/>
    </xf>
    <xf numFmtId="3" fontId="3" fillId="0" borderId="14" xfId="62" applyNumberFormat="1" applyFont="1" applyBorder="1">
      <alignment/>
      <protection/>
    </xf>
    <xf numFmtId="3" fontId="3" fillId="0" borderId="15" xfId="62" applyNumberFormat="1" applyFont="1" applyBorder="1">
      <alignment/>
      <protection/>
    </xf>
    <xf numFmtId="3" fontId="3" fillId="13" borderId="0" xfId="62" applyNumberFormat="1" applyFont="1" applyFill="1" applyBorder="1" applyAlignment="1">
      <alignment horizontal="right" vertical="center"/>
      <protection/>
    </xf>
    <xf numFmtId="3" fontId="3" fillId="13" borderId="10" xfId="62" applyNumberFormat="1" applyFont="1" applyFill="1" applyBorder="1" applyAlignment="1">
      <alignment vertical="center"/>
      <protection/>
    </xf>
    <xf numFmtId="3" fontId="124" fillId="0" borderId="0" xfId="62" applyNumberFormat="1" applyFont="1" applyFill="1" applyBorder="1" applyAlignment="1">
      <alignment horizontal="right" vertical="center"/>
      <protection/>
    </xf>
    <xf numFmtId="4" fontId="120" fillId="0" borderId="0" xfId="0" applyNumberFormat="1" applyFont="1" applyFill="1" applyBorder="1" applyAlignment="1">
      <alignment/>
    </xf>
    <xf numFmtId="3" fontId="3" fillId="0" borderId="0" xfId="62" applyNumberFormat="1" applyFont="1" applyBorder="1" applyAlignment="1">
      <alignment horizontal="right"/>
      <protection/>
    </xf>
    <xf numFmtId="3" fontId="3" fillId="0" borderId="10" xfId="62" applyNumberFormat="1" applyFont="1" applyBorder="1">
      <alignment/>
      <protection/>
    </xf>
    <xf numFmtId="3" fontId="3" fillId="13" borderId="11" xfId="62" applyNumberFormat="1" applyFont="1" applyFill="1" applyBorder="1" applyAlignment="1">
      <alignment vertical="center"/>
      <protection/>
    </xf>
    <xf numFmtId="3" fontId="3" fillId="13" borderId="0" xfId="62" applyNumberFormat="1" applyFont="1" applyFill="1" applyBorder="1" applyAlignment="1">
      <alignment vertical="center"/>
      <protection/>
    </xf>
    <xf numFmtId="3" fontId="3" fillId="30" borderId="10" xfId="62" applyNumberFormat="1" applyFont="1" applyFill="1" applyBorder="1" applyAlignment="1">
      <alignment horizontal="right" vertical="center"/>
      <protection/>
    </xf>
    <xf numFmtId="1" fontId="120" fillId="0" borderId="0" xfId="0" applyNumberFormat="1" applyFont="1" applyFill="1" applyBorder="1" applyAlignment="1">
      <alignment/>
    </xf>
    <xf numFmtId="3" fontId="3" fillId="0" borderId="11" xfId="62" applyNumberFormat="1" applyFont="1" applyFill="1" applyBorder="1">
      <alignment/>
      <protection/>
    </xf>
    <xf numFmtId="3" fontId="3" fillId="0" borderId="0" xfId="62" applyNumberFormat="1" applyFont="1" applyFill="1" applyBorder="1" applyAlignment="1">
      <alignment horizontal="right"/>
      <protection/>
    </xf>
    <xf numFmtId="3" fontId="3" fillId="0" borderId="10" xfId="62" applyNumberFormat="1" applyFont="1" applyFill="1" applyBorder="1">
      <alignment/>
      <protection/>
    </xf>
    <xf numFmtId="3" fontId="4" fillId="0" borderId="11" xfId="62" applyNumberFormat="1" applyFont="1" applyBorder="1">
      <alignment/>
      <protection/>
    </xf>
    <xf numFmtId="3" fontId="4" fillId="0" borderId="0" xfId="62" applyNumberFormat="1" applyFont="1" applyBorder="1" applyAlignment="1">
      <alignment horizontal="right"/>
      <protection/>
    </xf>
    <xf numFmtId="4" fontId="4" fillId="0" borderId="0" xfId="62" applyNumberFormat="1" applyFont="1" applyBorder="1" applyAlignment="1">
      <alignment horizontal="right"/>
      <protection/>
    </xf>
    <xf numFmtId="3" fontId="4" fillId="0" borderId="10" xfId="62" applyNumberFormat="1" applyFont="1" applyBorder="1">
      <alignment/>
      <protection/>
    </xf>
    <xf numFmtId="3" fontId="4" fillId="0" borderId="11" xfId="62" applyNumberFormat="1" applyFont="1" applyFill="1" applyBorder="1">
      <alignment/>
      <protection/>
    </xf>
    <xf numFmtId="3" fontId="4" fillId="0" borderId="10" xfId="62" applyNumberFormat="1" applyFont="1" applyFill="1" applyBorder="1">
      <alignment/>
      <protection/>
    </xf>
    <xf numFmtId="4" fontId="120" fillId="0" borderId="0" xfId="62" applyNumberFormat="1" applyFont="1" applyFill="1">
      <alignment/>
      <protection/>
    </xf>
    <xf numFmtId="4" fontId="4" fillId="0" borderId="0" xfId="62" applyNumberFormat="1" applyFont="1" applyFill="1" applyBorder="1" applyAlignment="1">
      <alignment horizontal="right"/>
      <protection/>
    </xf>
    <xf numFmtId="3" fontId="120" fillId="0" borderId="0" xfId="0" applyNumberFormat="1" applyFont="1" applyFill="1" applyBorder="1" applyAlignment="1">
      <alignment/>
    </xf>
    <xf numFmtId="4" fontId="120" fillId="0" borderId="0" xfId="62" applyNumberFormat="1" applyFont="1" applyFill="1" applyBorder="1" applyAlignment="1">
      <alignment vertical="center"/>
      <protection/>
    </xf>
    <xf numFmtId="204" fontId="4" fillId="0" borderId="0" xfId="62" applyNumberFormat="1" applyFont="1" applyFill="1" applyAlignment="1">
      <alignment horizontal="right"/>
      <protection/>
    </xf>
    <xf numFmtId="0" fontId="120" fillId="0" borderId="0" xfId="62" applyFont="1" applyFill="1" applyBorder="1">
      <alignment/>
      <protection/>
    </xf>
    <xf numFmtId="4" fontId="3" fillId="0" borderId="0" xfId="62" applyNumberFormat="1" applyFont="1" applyBorder="1" applyAlignment="1">
      <alignment horizontal="right"/>
      <protection/>
    </xf>
    <xf numFmtId="3" fontId="3" fillId="30" borderId="11" xfId="62" applyNumberFormat="1" applyFont="1" applyFill="1" applyBorder="1" applyAlignment="1">
      <alignment vertical="center"/>
      <protection/>
    </xf>
    <xf numFmtId="3" fontId="3" fillId="30" borderId="0" xfId="62" applyNumberFormat="1" applyFont="1" applyFill="1" applyBorder="1" applyAlignment="1">
      <alignment vertical="center"/>
      <protection/>
    </xf>
    <xf numFmtId="3" fontId="3" fillId="30" borderId="0" xfId="62" applyNumberFormat="1" applyFont="1" applyFill="1" applyBorder="1" applyAlignment="1">
      <alignment horizontal="right" vertical="center"/>
      <protection/>
    </xf>
    <xf numFmtId="3" fontId="3" fillId="30" borderId="10" xfId="62" applyNumberFormat="1" applyFont="1" applyFill="1" applyBorder="1" applyAlignment="1">
      <alignment vertical="center"/>
      <protection/>
    </xf>
    <xf numFmtId="3" fontId="120" fillId="0" borderId="0" xfId="62" applyNumberFormat="1" applyFont="1" applyAlignment="1">
      <alignment vertical="center"/>
      <protection/>
    </xf>
    <xf numFmtId="199" fontId="4" fillId="0" borderId="0" xfId="62" applyNumberFormat="1" applyFont="1" applyFill="1" applyBorder="1" applyAlignment="1">
      <alignment horizontal="right"/>
      <protection/>
    </xf>
    <xf numFmtId="3" fontId="4" fillId="0" borderId="10" xfId="62" applyNumberFormat="1" applyFont="1" applyBorder="1" applyAlignment="1">
      <alignment horizontal="right"/>
      <protection/>
    </xf>
    <xf numFmtId="1" fontId="4" fillId="0" borderId="0" xfId="62" applyNumberFormat="1" applyFont="1" applyBorder="1" applyAlignment="1">
      <alignment horizontal="right"/>
      <protection/>
    </xf>
    <xf numFmtId="3" fontId="4" fillId="0" borderId="12" xfId="62" applyNumberFormat="1" applyFont="1" applyBorder="1">
      <alignment/>
      <protection/>
    </xf>
    <xf numFmtId="3" fontId="4" fillId="0" borderId="13" xfId="62" applyNumberFormat="1" applyFont="1" applyBorder="1">
      <alignment/>
      <protection/>
    </xf>
    <xf numFmtId="4" fontId="4" fillId="0" borderId="13" xfId="62" applyNumberFormat="1" applyFont="1" applyBorder="1">
      <alignment/>
      <protection/>
    </xf>
    <xf numFmtId="3" fontId="4" fillId="0" borderId="9" xfId="62" applyNumberFormat="1" applyFont="1" applyBorder="1">
      <alignment/>
      <protection/>
    </xf>
    <xf numFmtId="4" fontId="4" fillId="0" borderId="0" xfId="62" applyNumberFormat="1" applyFont="1" applyBorder="1">
      <alignment/>
      <protection/>
    </xf>
    <xf numFmtId="4" fontId="4" fillId="0" borderId="0" xfId="62" applyNumberFormat="1" applyFont="1">
      <alignment/>
      <protection/>
    </xf>
    <xf numFmtId="3" fontId="14" fillId="0" borderId="0" xfId="62" applyNumberFormat="1" applyFont="1">
      <alignment/>
      <protection/>
    </xf>
    <xf numFmtId="4" fontId="14" fillId="0" borderId="0" xfId="62" applyNumberFormat="1" applyFont="1">
      <alignment/>
      <protection/>
    </xf>
    <xf numFmtId="3" fontId="14" fillId="0" borderId="0" xfId="62" applyNumberFormat="1" applyFont="1" applyFill="1">
      <alignment/>
      <protection/>
    </xf>
    <xf numFmtId="0" fontId="129" fillId="0" borderId="0" xfId="0" applyFont="1" applyAlignment="1">
      <alignment/>
    </xf>
    <xf numFmtId="0" fontId="143" fillId="35" borderId="0" xfId="0" applyFont="1" applyFill="1" applyBorder="1" applyAlignment="1">
      <alignment horizontal="left"/>
    </xf>
    <xf numFmtId="3" fontId="143" fillId="35" borderId="0" xfId="0" applyNumberFormat="1" applyFont="1" applyFill="1" applyBorder="1" applyAlignment="1">
      <alignment/>
    </xf>
    <xf numFmtId="0" fontId="116" fillId="34" borderId="0" xfId="0" applyFont="1" applyFill="1" applyBorder="1" applyAlignment="1">
      <alignment/>
    </xf>
    <xf numFmtId="0" fontId="129" fillId="34" borderId="0" xfId="0" applyFont="1" applyFill="1" applyBorder="1" applyAlignment="1">
      <alignment/>
    </xf>
    <xf numFmtId="0" fontId="132" fillId="34" borderId="0" xfId="0" applyFont="1" applyFill="1" applyBorder="1" applyAlignment="1">
      <alignment/>
    </xf>
    <xf numFmtId="0" fontId="117" fillId="34" borderId="0" xfId="0" applyFont="1" applyFill="1" applyBorder="1" applyAlignment="1">
      <alignment horizontal="center"/>
    </xf>
    <xf numFmtId="0" fontId="132" fillId="34" borderId="0" xfId="0" applyFont="1" applyFill="1" applyBorder="1" applyAlignment="1">
      <alignment horizontal="center"/>
    </xf>
    <xf numFmtId="0" fontId="129" fillId="0" borderId="0" xfId="0" applyFont="1" applyAlignment="1">
      <alignment horizontal="center"/>
    </xf>
    <xf numFmtId="3" fontId="117" fillId="34" borderId="0" xfId="0" applyNumberFormat="1" applyFont="1" applyFill="1" applyBorder="1" applyAlignment="1">
      <alignment horizontal="center"/>
    </xf>
    <xf numFmtId="0" fontId="117" fillId="34" borderId="0" xfId="0" applyFont="1" applyFill="1" applyBorder="1" applyAlignment="1">
      <alignment/>
    </xf>
    <xf numFmtId="3" fontId="144" fillId="0" borderId="0" xfId="0" applyNumberFormat="1" applyFont="1" applyAlignment="1">
      <alignment/>
    </xf>
    <xf numFmtId="0" fontId="145" fillId="0" borderId="0" xfId="65" applyFont="1" applyAlignment="1">
      <alignment vertical="center"/>
      <protection/>
    </xf>
    <xf numFmtId="4" fontId="146" fillId="0" borderId="0" xfId="0" applyNumberFormat="1" applyFont="1" applyFill="1" applyAlignment="1">
      <alignment/>
    </xf>
    <xf numFmtId="3" fontId="146" fillId="0" borderId="0" xfId="0" applyNumberFormat="1" applyFont="1" applyFill="1" applyAlignment="1">
      <alignment/>
    </xf>
    <xf numFmtId="3" fontId="144" fillId="0" borderId="0" xfId="0" applyNumberFormat="1" applyFont="1" applyFill="1" applyAlignment="1">
      <alignment/>
    </xf>
    <xf numFmtId="3" fontId="145" fillId="0" borderId="0" xfId="0" applyNumberFormat="1" applyFont="1" applyFill="1" applyAlignment="1">
      <alignment/>
    </xf>
    <xf numFmtId="3" fontId="141" fillId="0" borderId="0" xfId="0" applyNumberFormat="1" applyFont="1" applyFill="1" applyAlignment="1">
      <alignment/>
    </xf>
    <xf numFmtId="3" fontId="128" fillId="0" borderId="0" xfId="0" applyNumberFormat="1" applyFont="1" applyAlignment="1">
      <alignment/>
    </xf>
    <xf numFmtId="0" fontId="13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13" borderId="0" xfId="62" applyNumberFormat="1" applyFont="1" applyFill="1" applyBorder="1">
      <alignment/>
      <protection/>
    </xf>
    <xf numFmtId="3" fontId="3" fillId="13" borderId="0" xfId="62" applyNumberFormat="1" applyFont="1" applyFill="1" applyBorder="1" applyAlignment="1">
      <alignment horizontal="right"/>
      <protection/>
    </xf>
    <xf numFmtId="3" fontId="4" fillId="0" borderId="0" xfId="62" applyNumberFormat="1" applyFont="1" applyFill="1" applyBorder="1" applyAlignment="1" quotePrefix="1">
      <alignment horizontal="righ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62" applyNumberFormat="1" applyFont="1" applyAlignment="1">
      <alignment horizontal="right"/>
      <protection/>
    </xf>
    <xf numFmtId="3" fontId="3" fillId="0" borderId="0" xfId="62" applyNumberFormat="1" applyFont="1" applyFill="1" applyAlignment="1">
      <alignment horizontal="right"/>
      <protection/>
    </xf>
    <xf numFmtId="3" fontId="2" fillId="13" borderId="10" xfId="0" applyNumberFormat="1" applyFont="1" applyFill="1" applyBorder="1" applyAlignment="1">
      <alignment horizontal="right"/>
    </xf>
    <xf numFmtId="194" fontId="4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right"/>
    </xf>
    <xf numFmtId="185" fontId="4" fillId="0" borderId="0" xfId="56" applyFont="1" applyAlignment="1">
      <alignment/>
    </xf>
    <xf numFmtId="3" fontId="120" fillId="0" borderId="0" xfId="62" applyNumberFormat="1" applyFont="1" applyFill="1" applyAlignment="1">
      <alignment horizontal="left"/>
      <protection/>
    </xf>
    <xf numFmtId="3" fontId="120" fillId="0" borderId="0" xfId="62" applyNumberFormat="1" applyFont="1" applyAlignment="1">
      <alignment horizontal="right"/>
      <protection/>
    </xf>
    <xf numFmtId="197" fontId="120" fillId="0" borderId="0" xfId="67" applyNumberFormat="1" applyFont="1" applyAlignment="1">
      <alignment/>
    </xf>
    <xf numFmtId="0" fontId="113" fillId="0" borderId="0" xfId="62" applyFont="1" applyFill="1">
      <alignment/>
      <protection/>
    </xf>
    <xf numFmtId="194" fontId="120" fillId="0" borderId="0" xfId="62" applyNumberFormat="1" applyFont="1" applyBorder="1">
      <alignment/>
      <protection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Fill="1" applyAlignment="1">
      <alignment horizontal="right"/>
    </xf>
    <xf numFmtId="194" fontId="4" fillId="0" borderId="0" xfId="0" applyNumberFormat="1" applyFont="1" applyAlignment="1">
      <alignment/>
    </xf>
    <xf numFmtId="4" fontId="127" fillId="0" borderId="0" xfId="62" applyNumberFormat="1" applyFont="1" applyBorder="1">
      <alignment/>
      <protection/>
    </xf>
    <xf numFmtId="3" fontId="127" fillId="0" borderId="0" xfId="62" applyNumberFormat="1" applyFont="1" applyFill="1" applyBorder="1" applyAlignment="1">
      <alignment horizontal="right"/>
      <protection/>
    </xf>
    <xf numFmtId="4" fontId="127" fillId="0" borderId="0" xfId="62" applyNumberFormat="1" applyFont="1">
      <alignment/>
      <protection/>
    </xf>
    <xf numFmtId="3" fontId="127" fillId="0" borderId="0" xfId="62" applyNumberFormat="1" applyFont="1">
      <alignment/>
      <protection/>
    </xf>
    <xf numFmtId="3" fontId="7" fillId="0" borderId="0" xfId="62" applyNumberFormat="1" applyFont="1">
      <alignment/>
      <protection/>
    </xf>
    <xf numFmtId="3" fontId="7" fillId="0" borderId="0" xfId="0" applyNumberFormat="1" applyFont="1" applyFill="1" applyAlignment="1">
      <alignment/>
    </xf>
    <xf numFmtId="3" fontId="115" fillId="34" borderId="0" xfId="0" applyNumberFormat="1" applyFont="1" applyFill="1" applyAlignment="1">
      <alignment/>
    </xf>
    <xf numFmtId="194" fontId="115" fillId="34" borderId="0" xfId="0" applyNumberFormat="1" applyFont="1" applyFill="1" applyAlignment="1">
      <alignment/>
    </xf>
    <xf numFmtId="10" fontId="114" fillId="34" borderId="0" xfId="67" applyNumberFormat="1" applyFont="1" applyFill="1" applyAlignment="1">
      <alignment/>
    </xf>
    <xf numFmtId="194" fontId="114" fillId="34" borderId="0" xfId="0" applyNumberFormat="1" applyFont="1" applyFill="1" applyAlignment="1">
      <alignment/>
    </xf>
    <xf numFmtId="3" fontId="2" fillId="13" borderId="11" xfId="0" applyNumberFormat="1" applyFont="1" applyFill="1" applyBorder="1" applyAlignment="1">
      <alignment horizontal="center" vertical="center"/>
    </xf>
    <xf numFmtId="3" fontId="2" fillId="13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center"/>
    </xf>
    <xf numFmtId="3" fontId="2" fillId="13" borderId="17" xfId="0" applyNumberFormat="1" applyFont="1" applyFill="1" applyBorder="1" applyAlignment="1">
      <alignment horizontal="center" vertical="center"/>
    </xf>
    <xf numFmtId="3" fontId="2" fillId="13" borderId="22" xfId="0" applyNumberFormat="1" applyFont="1" applyFill="1" applyBorder="1" applyAlignment="1">
      <alignment horizontal="center" vertical="center"/>
    </xf>
    <xf numFmtId="3" fontId="3" fillId="13" borderId="11" xfId="62" applyNumberFormat="1" applyFont="1" applyFill="1" applyBorder="1" applyAlignment="1">
      <alignment horizontal="center" vertical="center"/>
      <protection/>
    </xf>
    <xf numFmtId="3" fontId="3" fillId="13" borderId="0" xfId="62" applyNumberFormat="1" applyFont="1" applyFill="1" applyBorder="1" applyAlignment="1">
      <alignment horizontal="center" vertical="center"/>
      <protection/>
    </xf>
    <xf numFmtId="3" fontId="3" fillId="13" borderId="23" xfId="62" applyNumberFormat="1" applyFont="1" applyFill="1" applyBorder="1" applyAlignment="1">
      <alignment horizontal="center" vertical="center"/>
      <protection/>
    </xf>
    <xf numFmtId="3" fontId="3" fillId="13" borderId="14" xfId="62" applyNumberFormat="1" applyFont="1" applyFill="1" applyBorder="1" applyAlignment="1">
      <alignment horizontal="center" vertical="center"/>
      <protection/>
    </xf>
    <xf numFmtId="3" fontId="3" fillId="13" borderId="12" xfId="62" applyNumberFormat="1" applyFont="1" applyFill="1" applyBorder="1" applyAlignment="1">
      <alignment horizontal="center" vertical="center"/>
      <protection/>
    </xf>
    <xf numFmtId="3" fontId="3" fillId="13" borderId="13" xfId="62" applyNumberFormat="1" applyFont="1" applyFill="1" applyBorder="1" applyAlignment="1">
      <alignment horizontal="center" vertical="center"/>
      <protection/>
    </xf>
    <xf numFmtId="3" fontId="3" fillId="13" borderId="16" xfId="62" applyNumberFormat="1" applyFont="1" applyFill="1" applyBorder="1" applyAlignment="1">
      <alignment horizontal="center" vertical="center"/>
      <protection/>
    </xf>
    <xf numFmtId="3" fontId="3" fillId="13" borderId="15" xfId="62" applyNumberFormat="1" applyFont="1" applyFill="1" applyBorder="1" applyAlignment="1">
      <alignment horizontal="center" vertical="center"/>
      <protection/>
    </xf>
    <xf numFmtId="3" fontId="3" fillId="13" borderId="17" xfId="62" applyNumberFormat="1" applyFont="1" applyFill="1" applyBorder="1" applyAlignment="1">
      <alignment horizontal="center" vertical="center"/>
      <protection/>
    </xf>
    <xf numFmtId="3" fontId="3" fillId="13" borderId="18" xfId="62" applyNumberFormat="1" applyFont="1" applyFill="1" applyBorder="1" applyAlignment="1">
      <alignment horizontal="center" vertical="center"/>
      <protection/>
    </xf>
    <xf numFmtId="3" fontId="21" fillId="0" borderId="0" xfId="62" applyNumberFormat="1" applyFont="1" applyAlignment="1">
      <alignment horizontal="center"/>
      <protection/>
    </xf>
    <xf numFmtId="3" fontId="2" fillId="13" borderId="11" xfId="62" applyNumberFormat="1" applyFont="1" applyFill="1" applyBorder="1" applyAlignment="1">
      <alignment horizontal="center"/>
      <protection/>
    </xf>
    <xf numFmtId="3" fontId="2" fillId="13" borderId="0" xfId="62" applyNumberFormat="1" applyFont="1" applyFill="1" applyBorder="1" applyAlignment="1">
      <alignment horizontal="center"/>
      <protection/>
    </xf>
    <xf numFmtId="3" fontId="2" fillId="13" borderId="20" xfId="62" applyNumberFormat="1" applyFont="1" applyFill="1" applyBorder="1" applyAlignment="1">
      <alignment horizontal="center" vertical="center"/>
      <protection/>
    </xf>
    <xf numFmtId="3" fontId="2" fillId="13" borderId="21" xfId="62" applyNumberFormat="1" applyFont="1" applyFill="1" applyBorder="1" applyAlignment="1">
      <alignment horizontal="center" vertical="center"/>
      <protection/>
    </xf>
    <xf numFmtId="3" fontId="2" fillId="13" borderId="17" xfId="62" applyNumberFormat="1" applyFont="1" applyFill="1" applyBorder="1" applyAlignment="1">
      <alignment horizontal="center" vertical="center"/>
      <protection/>
    </xf>
    <xf numFmtId="3" fontId="2" fillId="13" borderId="22" xfId="62" applyNumberFormat="1" applyFont="1" applyFill="1" applyBorder="1" applyAlignment="1">
      <alignment horizontal="center" vertical="center"/>
      <protection/>
    </xf>
    <xf numFmtId="3" fontId="2" fillId="13" borderId="18" xfId="62" applyNumberFormat="1" applyFont="1" applyFill="1" applyBorder="1" applyAlignment="1">
      <alignment horizontal="center" vertical="center"/>
      <protection/>
    </xf>
    <xf numFmtId="3" fontId="2" fillId="13" borderId="23" xfId="62" applyNumberFormat="1" applyFont="1" applyFill="1" applyBorder="1" applyAlignment="1">
      <alignment horizontal="center" vertical="center"/>
      <protection/>
    </xf>
    <xf numFmtId="3" fontId="2" fillId="13" borderId="15" xfId="62" applyNumberFormat="1" applyFont="1" applyFill="1" applyBorder="1" applyAlignment="1">
      <alignment horizontal="center" vertical="center"/>
      <protection/>
    </xf>
    <xf numFmtId="3" fontId="2" fillId="13" borderId="12" xfId="62" applyNumberFormat="1" applyFont="1" applyFill="1" applyBorder="1" applyAlignment="1">
      <alignment horizontal="center" vertical="center"/>
      <protection/>
    </xf>
    <xf numFmtId="3" fontId="2" fillId="13" borderId="9" xfId="62" applyNumberFormat="1" applyFont="1" applyFill="1" applyBorder="1" applyAlignment="1">
      <alignment horizontal="center" vertical="center"/>
      <protection/>
    </xf>
    <xf numFmtId="4" fontId="2" fillId="13" borderId="17" xfId="0" applyNumberFormat="1" applyFont="1" applyFill="1" applyBorder="1" applyAlignment="1">
      <alignment horizontal="center" vertical="center"/>
    </xf>
    <xf numFmtId="4" fontId="2" fillId="13" borderId="22" xfId="0" applyNumberFormat="1" applyFont="1" applyFill="1" applyBorder="1" applyAlignment="1">
      <alignment horizontal="center" vertical="center"/>
    </xf>
    <xf numFmtId="4" fontId="2" fillId="13" borderId="18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4" fontId="2" fillId="13" borderId="11" xfId="0" applyNumberFormat="1" applyFont="1" applyFill="1" applyBorder="1" applyAlignment="1">
      <alignment horizontal="center"/>
    </xf>
    <xf numFmtId="4" fontId="2" fillId="13" borderId="0" xfId="0" applyNumberFormat="1" applyFont="1" applyFill="1" applyBorder="1" applyAlignment="1">
      <alignment horizontal="center"/>
    </xf>
    <xf numFmtId="4" fontId="2" fillId="13" borderId="20" xfId="0" applyNumberFormat="1" applyFont="1" applyFill="1" applyBorder="1" applyAlignment="1">
      <alignment horizontal="center" vertical="center"/>
    </xf>
    <xf numFmtId="4" fontId="2" fillId="13" borderId="21" xfId="0" applyNumberFormat="1" applyFont="1" applyFill="1" applyBorder="1" applyAlignment="1">
      <alignment horizontal="center" vertical="center"/>
    </xf>
    <xf numFmtId="4" fontId="2" fillId="13" borderId="23" xfId="0" applyNumberFormat="1" applyFont="1" applyFill="1" applyBorder="1" applyAlignment="1">
      <alignment horizontal="center" vertical="center"/>
    </xf>
    <xf numFmtId="4" fontId="2" fillId="13" borderId="14" xfId="0" applyNumberFormat="1" applyFont="1" applyFill="1" applyBorder="1" applyAlignment="1">
      <alignment horizontal="center" vertical="center"/>
    </xf>
    <xf numFmtId="4" fontId="2" fillId="13" borderId="11" xfId="0" applyNumberFormat="1" applyFont="1" applyFill="1" applyBorder="1" applyAlignment="1">
      <alignment horizontal="center" vertical="center"/>
    </xf>
    <xf numFmtId="4" fontId="2" fillId="13" borderId="0" xfId="0" applyNumberFormat="1" applyFont="1" applyFill="1" applyBorder="1" applyAlignment="1">
      <alignment horizontal="center" vertical="center"/>
    </xf>
    <xf numFmtId="4" fontId="2" fillId="13" borderId="12" xfId="0" applyNumberFormat="1" applyFont="1" applyFill="1" applyBorder="1" applyAlignment="1">
      <alignment horizontal="center" vertical="center"/>
    </xf>
    <xf numFmtId="4" fontId="2" fillId="13" borderId="13" xfId="0" applyNumberFormat="1" applyFont="1" applyFill="1" applyBorder="1" applyAlignment="1">
      <alignment horizontal="center" vertical="center"/>
    </xf>
    <xf numFmtId="3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/>
    </xf>
    <xf numFmtId="0" fontId="2" fillId="13" borderId="17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135" fillId="0" borderId="0" xfId="63" applyFont="1" applyAlignment="1">
      <alignment horizontal="center" vertical="center"/>
      <protection/>
    </xf>
    <xf numFmtId="3" fontId="79" fillId="0" borderId="0" xfId="0" applyNumberFormat="1" applyFont="1" applyAlignment="1">
      <alignment horizontal="center"/>
    </xf>
    <xf numFmtId="3" fontId="79" fillId="0" borderId="0" xfId="62" applyNumberFormat="1" applyFont="1" applyAlignment="1">
      <alignment horizontal="center"/>
      <protection/>
    </xf>
    <xf numFmtId="4" fontId="127" fillId="0" borderId="0" xfId="0" applyNumberFormat="1" applyFont="1" applyFill="1" applyBorder="1" applyAlignment="1">
      <alignment/>
    </xf>
    <xf numFmtId="0" fontId="115" fillId="0" borderId="0" xfId="0" applyFont="1" applyFill="1" applyBorder="1" applyAlignment="1">
      <alignment horizontal="left"/>
    </xf>
    <xf numFmtId="4" fontId="115" fillId="0" borderId="0" xfId="0" applyNumberFormat="1" applyFont="1" applyFill="1" applyBorder="1" applyAlignment="1">
      <alignment/>
    </xf>
    <xf numFmtId="0" fontId="101" fillId="0" borderId="0" xfId="0" applyFont="1" applyFill="1" applyBorder="1" applyAlignment="1">
      <alignment horizontal="left"/>
    </xf>
    <xf numFmtId="4" fontId="101" fillId="0" borderId="0" xfId="0" applyNumberFormat="1" applyFont="1" applyFill="1" applyBorder="1" applyAlignment="1">
      <alignment/>
    </xf>
    <xf numFmtId="4" fontId="128" fillId="0" borderId="0" xfId="0" applyNumberFormat="1" applyFont="1" applyFill="1" applyBorder="1" applyAlignment="1">
      <alignment/>
    </xf>
    <xf numFmtId="0" fontId="127" fillId="0" borderId="0" xfId="0" applyFont="1" applyFill="1" applyBorder="1" applyAlignment="1">
      <alignment/>
    </xf>
    <xf numFmtId="3" fontId="3" fillId="13" borderId="16" xfId="0" applyNumberFormat="1" applyFont="1" applyFill="1" applyBorder="1" applyAlignment="1">
      <alignment horizontal="center" vertical="center"/>
    </xf>
    <xf numFmtId="194" fontId="3" fillId="13" borderId="16" xfId="0" applyNumberFormat="1" applyFont="1" applyFill="1" applyBorder="1" applyAlignment="1">
      <alignment horizontal="center" vertical="center"/>
    </xf>
    <xf numFmtId="3" fontId="3" fillId="13" borderId="17" xfId="0" applyNumberFormat="1" applyFont="1" applyFill="1" applyBorder="1" applyAlignment="1">
      <alignment horizontal="center" vertical="center"/>
    </xf>
    <xf numFmtId="3" fontId="3" fillId="13" borderId="22" xfId="0" applyNumberFormat="1" applyFont="1" applyFill="1" applyBorder="1" applyAlignment="1">
      <alignment horizontal="center" vertical="center"/>
    </xf>
    <xf numFmtId="3" fontId="3" fillId="13" borderId="18" xfId="0" applyNumberFormat="1" applyFont="1" applyFill="1" applyBorder="1" applyAlignment="1">
      <alignment horizontal="center" vertical="center"/>
    </xf>
    <xf numFmtId="4" fontId="3" fillId="13" borderId="16" xfId="0" applyNumberFormat="1" applyFont="1" applyFill="1" applyBorder="1" applyAlignment="1">
      <alignment horizontal="center" vertical="center"/>
    </xf>
    <xf numFmtId="4" fontId="3" fillId="13" borderId="20" xfId="0" applyNumberFormat="1" applyFont="1" applyFill="1" applyBorder="1" applyAlignment="1">
      <alignment horizontal="center" vertical="center"/>
    </xf>
    <xf numFmtId="4" fontId="3" fillId="13" borderId="21" xfId="0" applyNumberFormat="1" applyFont="1" applyFill="1" applyBorder="1" applyAlignment="1">
      <alignment horizontal="center" vertical="center"/>
    </xf>
    <xf numFmtId="194" fontId="3" fillId="13" borderId="21" xfId="0" applyNumberFormat="1" applyFont="1" applyFill="1" applyBorder="1" applyAlignment="1">
      <alignment horizontal="center" vertical="center"/>
    </xf>
    <xf numFmtId="4" fontId="3" fillId="13" borderId="21" xfId="0" applyNumberFormat="1" applyFont="1" applyFill="1" applyBorder="1" applyAlignment="1">
      <alignment horizontal="center" vertical="center"/>
    </xf>
    <xf numFmtId="4" fontId="3" fillId="13" borderId="12" xfId="0" applyNumberFormat="1" applyFont="1" applyFill="1" applyBorder="1" applyAlignment="1">
      <alignment horizontal="center" vertical="center"/>
    </xf>
    <xf numFmtId="3" fontId="3" fillId="13" borderId="9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9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13" borderId="11" xfId="0" applyNumberFormat="1" applyFont="1" applyFill="1" applyBorder="1" applyAlignment="1">
      <alignment horizontal="center"/>
    </xf>
    <xf numFmtId="3" fontId="3" fillId="13" borderId="0" xfId="0" applyNumberFormat="1" applyFont="1" applyFill="1" applyBorder="1" applyAlignment="1">
      <alignment horizontal="center"/>
    </xf>
    <xf numFmtId="3" fontId="3" fillId="13" borderId="0" xfId="0" applyNumberFormat="1" applyFont="1" applyFill="1" applyBorder="1" applyAlignment="1">
      <alignment horizontal="right"/>
    </xf>
    <xf numFmtId="3" fontId="3" fillId="13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195" fontId="1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8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13" borderId="17" xfId="0" applyFont="1" applyFill="1" applyBorder="1" applyAlignment="1">
      <alignment horizontal="center" vertical="center"/>
    </xf>
    <xf numFmtId="0" fontId="3" fillId="13" borderId="22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4" fontId="3" fillId="13" borderId="18" xfId="0" applyNumberFormat="1" applyFont="1" applyFill="1" applyBorder="1" applyAlignment="1">
      <alignment horizontal="center" vertical="center"/>
    </xf>
    <xf numFmtId="4" fontId="3" fillId="13" borderId="1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13" borderId="11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194" fontId="3" fillId="13" borderId="0" xfId="0" applyNumberFormat="1" applyFont="1" applyFill="1" applyBorder="1" applyAlignment="1">
      <alignment horizontal="right"/>
    </xf>
    <xf numFmtId="4" fontId="3" fillId="30" borderId="10" xfId="0" applyNumberFormat="1" applyFont="1" applyFill="1" applyBorder="1" applyAlignment="1">
      <alignment horizontal="right"/>
    </xf>
    <xf numFmtId="194" fontId="3" fillId="0" borderId="0" xfId="0" applyNumberFormat="1" applyFont="1" applyBorder="1" applyAlignment="1">
      <alignment horizontal="right"/>
    </xf>
    <xf numFmtId="194" fontId="28" fillId="0" borderId="0" xfId="0" applyNumberFormat="1" applyFont="1" applyBorder="1" applyAlignment="1">
      <alignment horizontal="right"/>
    </xf>
    <xf numFmtId="0" fontId="3" fillId="13" borderId="11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94" fontId="4" fillId="0" borderId="0" xfId="0" applyNumberFormat="1" applyFont="1" applyFill="1" applyBorder="1" applyAlignment="1">
      <alignment horizontal="right"/>
    </xf>
    <xf numFmtId="194" fontId="4" fillId="0" borderId="0" xfId="0" applyNumberFormat="1" applyFont="1" applyBorder="1" applyAlignment="1">
      <alignment horizontal="right"/>
    </xf>
    <xf numFmtId="195" fontId="4" fillId="0" borderId="10" xfId="0" applyNumberFormat="1" applyFont="1" applyBorder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1" fillId="30" borderId="17" xfId="0" applyNumberFormat="1" applyFont="1" applyFill="1" applyBorder="1" applyAlignment="1">
      <alignment horizontal="center" vertical="center"/>
    </xf>
    <xf numFmtId="3" fontId="1" fillId="30" borderId="22" xfId="0" applyNumberFormat="1" applyFont="1" applyFill="1" applyBorder="1" applyAlignment="1">
      <alignment horizontal="center" vertical="center"/>
    </xf>
    <xf numFmtId="3" fontId="1" fillId="30" borderId="16" xfId="0" applyNumberFormat="1" applyFont="1" applyFill="1" applyBorder="1" applyAlignment="1">
      <alignment horizontal="center" vertical="center"/>
    </xf>
    <xf numFmtId="3" fontId="1" fillId="30" borderId="18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0" borderId="11" xfId="0" applyNumberFormat="1" applyFont="1" applyFill="1" applyBorder="1" applyAlignment="1">
      <alignment horizontal="center"/>
    </xf>
    <xf numFmtId="3" fontId="1" fillId="30" borderId="0" xfId="0" applyNumberFormat="1" applyFont="1" applyFill="1" applyBorder="1" applyAlignment="1">
      <alignment horizontal="center"/>
    </xf>
    <xf numFmtId="3" fontId="1" fillId="30" borderId="0" xfId="0" applyNumberFormat="1" applyFont="1" applyFill="1" applyBorder="1" applyAlignment="1">
      <alignment/>
    </xf>
    <xf numFmtId="3" fontId="1" fillId="30" borderId="1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6" applyNumberFormat="1" applyFont="1" applyFill="1" applyAlignment="1">
      <alignment horizontal="right"/>
    </xf>
    <xf numFmtId="3" fontId="0" fillId="0" borderId="0" xfId="56" applyNumberFormat="1" applyFont="1" applyAlignment="1">
      <alignment horizontal="right"/>
    </xf>
    <xf numFmtId="3" fontId="0" fillId="0" borderId="13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3" fillId="13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1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2" xfId="49"/>
    <cellStyle name="F5" xfId="50"/>
    <cellStyle name="Fixed" xfId="51"/>
    <cellStyle name="Heading 2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Neutral" xfId="61"/>
    <cellStyle name="Normal 2" xfId="62"/>
    <cellStyle name="Normal 3" xfId="63"/>
    <cellStyle name="Normal 4" xfId="64"/>
    <cellStyle name="Normal 5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DESEMBARQUE DE RECURSOS HIDROBIOLÓGICOS MARÍTIMOS Y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CONTINENTALES SEGÚN UTILIZACIÓN, 2018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(TM)</a:t>
            </a:r>
          </a:p>
        </c:rich>
      </c:tx>
      <c:layout>
        <c:manualLayout>
          <c:xMode val="factor"/>
          <c:yMode val="factor"/>
          <c:x val="0.00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8975"/>
          <c:w val="0.95"/>
          <c:h val="0.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'Desem Total'!$E$38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'Desem Total'!$F$37:$Q$37</c:f>
              <c:strCache/>
            </c:strRef>
          </c:cat>
          <c:val>
            <c:numRef>
              <c:f>'Desem Total'!$F$38:$Q$38</c:f>
              <c:numCache/>
            </c:numRef>
          </c:val>
        </c:ser>
        <c:ser>
          <c:idx val="1"/>
          <c:order val="1"/>
          <c:tx>
            <c:strRef>
              <c:f>'Desem Total'!$E$39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'Desem Total'!$F$37:$Q$37</c:f>
              <c:strCache/>
            </c:strRef>
          </c:cat>
          <c:val>
            <c:numRef>
              <c:f>'Desem Total'!$F$39:$Q$39</c:f>
              <c:numCache/>
            </c:numRef>
          </c:val>
        </c:ser>
        <c:overlap val="-9"/>
        <c:gapWidth val="40"/>
        <c:axId val="66697208"/>
        <c:axId val="63403961"/>
      </c:bar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403961"/>
        <c:crosses val="autoZero"/>
        <c:auto val="1"/>
        <c:lblOffset val="100"/>
        <c:tickLblSkip val="1"/>
        <c:noMultiLvlLbl val="0"/>
      </c:catAx>
      <c:valAx>
        <c:axId val="63403961"/>
        <c:scaling>
          <c:orientation val="minMax"/>
          <c:max val="14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66972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964"/>
          <c:w val="0.59025"/>
          <c:h val="0.0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DESEMBARQUE DE ANCHOVETA PARA HARINA Y ACEITE, 2018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(TM)</a:t>
            </a:r>
          </a:p>
        </c:rich>
      </c:tx>
      <c:layout>
        <c:manualLayout>
          <c:xMode val="factor"/>
          <c:yMode val="factor"/>
          <c:x val="0.02175"/>
          <c:y val="0.0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9475"/>
          <c:w val="0.9157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tx>
            <c:v>Anchoveta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Anchoveta!$AZ$54:$BL$54</c:f>
              <c:strCache/>
            </c:strRef>
          </c:cat>
          <c:val>
            <c:numRef>
              <c:f>Anchoveta!$AZ$55:$BL$55</c:f>
              <c:numCache/>
            </c:numRef>
          </c:val>
        </c:ser>
        <c:gapWidth val="80"/>
        <c:axId val="4086774"/>
        <c:axId val="36780967"/>
      </c:barChart>
      <c:catAx>
        <c:axId val="4086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80967"/>
        <c:crosses val="autoZero"/>
        <c:auto val="1"/>
        <c:lblOffset val="100"/>
        <c:tickLblSkip val="1"/>
        <c:noMultiLvlLbl val="0"/>
      </c:catAx>
      <c:valAx>
        <c:axId val="36780967"/>
        <c:scaling>
          <c:orientation val="minMax"/>
        </c:scaling>
        <c:axPos val="l"/>
        <c:delete val="1"/>
        <c:majorTickMark val="out"/>
        <c:minorTickMark val="none"/>
        <c:tickLblPos val="nextTo"/>
        <c:crossAx val="4086774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969696"/>
      </a:solidFill>
    </a:ln>
  </c:spPr>
  <c:txPr>
    <a:bodyPr vert="horz" rot="0"/>
    <a:lstStyle/>
    <a:p>
      <a:pPr>
        <a:defRPr lang="en-US" cap="none" sz="2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DESEMBARQUE DE OTRAS ESPECIES PARA HARINA Y ACEITE POR PUERTO, 2018</a:t>
            </a:r>
          </a:p>
        </c:rich>
      </c:tx>
      <c:layout>
        <c:manualLayout>
          <c:xMode val="factor"/>
          <c:yMode val="factor"/>
          <c:x val="0.03775"/>
          <c:y val="0.05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165"/>
          <c:y val="0.272"/>
          <c:w val="0.2255"/>
          <c:h val="0.61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'Otras especies'!$C$9:$C$12</c:f>
              <c:strCache/>
            </c:strRef>
          </c:cat>
          <c:val>
            <c:numRef>
              <c:f>'Otras especies'!$D$9:$D$12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PERÚ: DESEMBARQUE DE OTRAS ESPECIES PARA HARINA Y ACEITE POR MES, 2018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(TM)</a:t>
            </a:r>
          </a:p>
        </c:rich>
      </c:tx>
      <c:layout>
        <c:manualLayout>
          <c:xMode val="factor"/>
          <c:yMode val="factor"/>
          <c:x val="-0.007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5575"/>
          <c:w val="0.98175"/>
          <c:h val="0.8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'Otras especies'!$C$46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'Otras especies'!$D$45:$O$45</c:f>
              <c:strCache/>
            </c:strRef>
          </c:cat>
          <c:val>
            <c:numRef>
              <c:f>'Otras especies'!$D$46:$O$46</c:f>
              <c:numCache/>
            </c:numRef>
          </c:val>
        </c:ser>
        <c:axId val="62593248"/>
        <c:axId val="26468321"/>
      </c:barChart>
      <c:catAx>
        <c:axId val="62593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26468321"/>
        <c:crosses val="autoZero"/>
        <c:auto val="1"/>
        <c:lblOffset val="100"/>
        <c:tickLblSkip val="1"/>
        <c:noMultiLvlLbl val="0"/>
      </c:catAx>
      <c:valAx>
        <c:axId val="26468321"/>
        <c:scaling>
          <c:orientation val="minMax"/>
        </c:scaling>
        <c:axPos val="l"/>
        <c:delete val="1"/>
        <c:majorTickMark val="out"/>
        <c:minorTickMark val="none"/>
        <c:tickLblPos val="nextTo"/>
        <c:crossAx val="62593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PERÚ: DESEMBARQUE DE RECURSOS HIDROBIOLÓGICOS PARA CURADO INDUSTRIAL, 2018
</a:t>
            </a: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(TM)</a:t>
            </a:r>
          </a:p>
        </c:rich>
      </c:tx>
      <c:layout>
        <c:manualLayout>
          <c:xMode val="factor"/>
          <c:yMode val="factor"/>
          <c:x val="0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775"/>
          <c:w val="0.937"/>
          <c:h val="0.85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'Curado ind especie'!$F$38:$Q$38</c:f>
              <c:strCache/>
            </c:strRef>
          </c:cat>
          <c:val>
            <c:numRef>
              <c:f>'Curado ind especie'!$F$39:$Q$39</c:f>
              <c:numCache/>
            </c:numRef>
          </c:val>
          <c:smooth val="1"/>
        </c:ser>
        <c:marker val="1"/>
        <c:axId val="36888298"/>
        <c:axId val="63559227"/>
      </c:lineChart>
      <c:catAx>
        <c:axId val="36888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59227"/>
        <c:crosses val="autoZero"/>
        <c:auto val="1"/>
        <c:lblOffset val="100"/>
        <c:tickLblSkip val="1"/>
        <c:noMultiLvlLbl val="0"/>
      </c:catAx>
      <c:valAx>
        <c:axId val="635592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888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PERÚ: DESEMBARQUE DE ANCHOVETA Y MACROALGAS PARA CURADO INDUSTRIAL POR MES, 2018</a:t>
            </a:r>
          </a:p>
        </c:rich>
      </c:tx>
      <c:layout>
        <c:manualLayout>
          <c:xMode val="factor"/>
          <c:yMode val="factor"/>
          <c:x val="-0.012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8"/>
          <c:w val="0.940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'Curado ind especie'!$D$19</c:f>
              <c:strCache>
                <c:ptCount val="1"/>
                <c:pt idx="0">
                  <c:v>Ene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especie'!$D$20:$D$21</c:f>
              <c:numCache/>
            </c:numRef>
          </c:val>
        </c:ser>
        <c:ser>
          <c:idx val="1"/>
          <c:order val="1"/>
          <c:tx>
            <c:strRef>
              <c:f>'Curado ind especie'!$E$19</c:f>
              <c:strCache>
                <c:ptCount val="1"/>
                <c:pt idx="0">
                  <c:v>Feb  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especie'!$E$20:$E$21</c:f>
              <c:numCache/>
            </c:numRef>
          </c:val>
        </c:ser>
        <c:ser>
          <c:idx val="2"/>
          <c:order val="2"/>
          <c:tx>
            <c:strRef>
              <c:f>'Curado ind especie'!$F$19</c:f>
              <c:strCache>
                <c:ptCount val="1"/>
                <c:pt idx="0">
                  <c:v>Mar 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especie'!$F$20:$F$21</c:f>
              <c:numCache/>
            </c:numRef>
          </c:val>
        </c:ser>
        <c:ser>
          <c:idx val="3"/>
          <c:order val="3"/>
          <c:tx>
            <c:strRef>
              <c:f>'Curado ind especie'!$G$19</c:f>
              <c:strCache>
                <c:ptCount val="1"/>
                <c:pt idx="0">
                  <c:v>Abr  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especie'!$G$20:$G$21</c:f>
              <c:numCache/>
            </c:numRef>
          </c:val>
        </c:ser>
        <c:ser>
          <c:idx val="4"/>
          <c:order val="4"/>
          <c:tx>
            <c:strRef>
              <c:f>'Curado ind especie'!$H$19</c:f>
              <c:strCache>
                <c:ptCount val="1"/>
                <c:pt idx="0">
                  <c:v>May  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especie'!$H$20:$H$21</c:f>
              <c:numCache/>
            </c:numRef>
          </c:val>
        </c:ser>
        <c:ser>
          <c:idx val="5"/>
          <c:order val="5"/>
          <c:tx>
            <c:strRef>
              <c:f>'Curado ind especie'!$I$19</c:f>
              <c:strCache>
                <c:ptCount val="1"/>
                <c:pt idx="0">
                  <c:v>Jun   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especie'!$I$20:$I$21</c:f>
              <c:numCache/>
            </c:numRef>
          </c:val>
        </c:ser>
        <c:ser>
          <c:idx val="6"/>
          <c:order val="6"/>
          <c:tx>
            <c:strRef>
              <c:f>'Curado ind especie'!$J$19</c:f>
              <c:strCache>
                <c:ptCount val="1"/>
                <c:pt idx="0">
                  <c:v>Jul   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especie'!$J$20:$J$21</c:f>
              <c:numCache/>
            </c:numRef>
          </c:val>
        </c:ser>
        <c:ser>
          <c:idx val="7"/>
          <c:order val="7"/>
          <c:tx>
            <c:strRef>
              <c:f>'Curado ind especie'!$K$19</c:f>
              <c:strCache>
                <c:ptCount val="1"/>
                <c:pt idx="0">
                  <c:v>Ago   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especie'!$K$20:$K$21</c:f>
              <c:numCache/>
            </c:numRef>
          </c:val>
        </c:ser>
        <c:ser>
          <c:idx val="8"/>
          <c:order val="8"/>
          <c:tx>
            <c:strRef>
              <c:f>'Curado ind especie'!$L$19</c:f>
              <c:strCache>
                <c:ptCount val="1"/>
                <c:pt idx="0">
                  <c:v>Set    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especie'!$L$20:$L$21</c:f>
              <c:numCache/>
            </c:numRef>
          </c:val>
        </c:ser>
        <c:ser>
          <c:idx val="9"/>
          <c:order val="9"/>
          <c:tx>
            <c:strRef>
              <c:f>'Curado ind especie'!$M$19</c:f>
              <c:strCache>
                <c:ptCount val="1"/>
                <c:pt idx="0">
                  <c:v>Oct    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especie'!$M$20:$M$21</c:f>
              <c:numCache/>
            </c:numRef>
          </c:val>
        </c:ser>
        <c:ser>
          <c:idx val="10"/>
          <c:order val="10"/>
          <c:tx>
            <c:strRef>
              <c:f>'Curado ind especie'!$N$19</c:f>
              <c:strCache>
                <c:ptCount val="1"/>
                <c:pt idx="0">
                  <c:v>Nov   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especie'!$N$20:$N$21</c:f>
              <c:numCache/>
            </c:numRef>
          </c:val>
        </c:ser>
        <c:ser>
          <c:idx val="11"/>
          <c:order val="11"/>
          <c:tx>
            <c:strRef>
              <c:f>'Curado ind especie'!$O$19</c:f>
              <c:strCache>
                <c:ptCount val="1"/>
                <c:pt idx="0">
                  <c:v>Dic    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'Curado ind especie'!$C$20:$C$21</c:f>
              <c:strCache/>
            </c:strRef>
          </c:cat>
          <c:val>
            <c:numRef>
              <c:f>'Curado ind especie'!$O$20:$O$21</c:f>
              <c:numCache/>
            </c:numRef>
          </c:val>
        </c:ser>
        <c:overlap val="-9"/>
        <c:gapWidth val="263"/>
        <c:axId val="35162132"/>
        <c:axId val="48023733"/>
      </c:bar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23733"/>
        <c:crosses val="autoZero"/>
        <c:auto val="1"/>
        <c:lblOffset val="100"/>
        <c:tickLblSkip val="1"/>
        <c:noMultiLvlLbl val="0"/>
      </c:catAx>
      <c:valAx>
        <c:axId val="480237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162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9185"/>
          <c:w val="0.730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PERÚ: DESEMBARQUE DE RECURSOS HIDROBIOLÓGICOS MARÍTIMOS SEGÚN UTILIZACIÓN, 2018 </a:t>
            </a:r>
          </a:p>
        </c:rich>
      </c:tx>
      <c:layout>
        <c:manualLayout>
          <c:xMode val="factor"/>
          <c:yMode val="factor"/>
          <c:x val="0.04125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9"/>
          <c:y val="0.30875"/>
          <c:w val="0.4665"/>
          <c:h val="0.466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'RHM por especie'!$D$99:$D$100</c:f>
              <c:strCache/>
            </c:strRef>
          </c:cat>
          <c:val>
            <c:numRef>
              <c:f>'RHM por especie'!$E$99:$E$100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PERÚ: DESEMBARQUE DE RECURSOS HIDROBIOLÓGICOS MARÍTIMOS SEGÚN ESPECIE, 2018 </a:t>
            </a:r>
          </a:p>
        </c:rich>
      </c:tx>
      <c:layout>
        <c:manualLayout>
          <c:xMode val="factor"/>
          <c:yMode val="factor"/>
          <c:x val="0.045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75"/>
          <c:y val="0.346"/>
          <c:w val="0.4815"/>
          <c:h val="0.494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'RHM por especie'!$D$93:$D$96</c:f>
              <c:strCache/>
            </c:strRef>
          </c:cat>
          <c:val>
            <c:numRef>
              <c:f>'RHM por especie'!$E$93:$E$96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Perú: Desembarque de recursos hidrobiológicos marítimos por lugar de procedencia, 2018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Porcentaje</a:t>
            </a:r>
          </a:p>
        </c:rich>
      </c:tx>
      <c:layout>
        <c:manualLayout>
          <c:xMode val="factor"/>
          <c:yMode val="factor"/>
          <c:x val="0.019"/>
          <c:y val="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75"/>
          <c:y val="0.382"/>
          <c:w val="0.40025"/>
          <c:h val="0.541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'RHM por proced'!$C$71:$C$76</c:f>
              <c:strCache/>
            </c:strRef>
          </c:cat>
          <c:val>
            <c:numRef>
              <c:f>'RHM por proced'!$D$71:$D$76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Desembarque de recursos hidrobiológicos por utilización para C.H.D: 2018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Porcentaje</a:t>
            </a:r>
          </a:p>
        </c:rich>
      </c:tx>
      <c:layout>
        <c:manualLayout>
          <c:xMode val="factor"/>
          <c:yMode val="factor"/>
          <c:x val="-0.045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275"/>
          <c:y val="0.369"/>
          <c:w val="0.39225"/>
          <c:h val="0.581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'RHM por proced'!$G$71:$G$74</c:f>
              <c:strCache/>
            </c:strRef>
          </c:cat>
          <c:val>
            <c:numRef>
              <c:f>'RHM por proced'!$H$71:$H$74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EXTRACCIÓN DE RECURSOS HIDROBIOLÓGICOS DE ORIGEN CONTINENTAL SEGÚN </a:t>
            </a: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PROCEDENCIA, 2018</a:t>
            </a:r>
          </a:p>
        </c:rich>
      </c:tx>
      <c:layout>
        <c:manualLayout>
          <c:xMode val="factor"/>
          <c:yMode val="factor"/>
          <c:x val="-0.01125"/>
          <c:y val="0.05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335"/>
          <c:y val="0.29925"/>
          <c:w val="0.33225"/>
          <c:h val="0.517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'Continental especie'!$C$67:$C$69</c:f>
              <c:strCache/>
            </c:strRef>
          </c:cat>
          <c:val>
            <c:numRef>
              <c:f>'Continental especie'!$E$67:$E$69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EXTRACCIÓN DE RECURSOS HIDROBIOLÓGICOS DE ORIGEN CONTINENTAL SEGÚN ESPECIE, 2018</a:t>
            </a:r>
          </a:p>
        </c:rich>
      </c:tx>
      <c:layout>
        <c:manualLayout>
          <c:xMode val="factor"/>
          <c:yMode val="factor"/>
          <c:x val="-0.013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925"/>
          <c:y val="0.315"/>
          <c:w val="0.30925"/>
          <c:h val="0.48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'Continental especie'!$C$73:$C$76</c:f>
              <c:strCache/>
            </c:strRef>
          </c:cat>
          <c:val>
            <c:numRef>
              <c:f>'Continental especie'!$E$73:$E$76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EXTRACCIÓN DE RECURSOS HIDROBIOLÓGICOS DE ORIGEN CONTINENTAL 
SEGÚN REGIÓN, 2018</a:t>
            </a:r>
          </a:p>
        </c:rich>
      </c:tx>
      <c:layout>
        <c:manualLayout>
          <c:xMode val="factor"/>
          <c:yMode val="factor"/>
          <c:x val="0.0177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55"/>
          <c:y val="0.29575"/>
          <c:w val="0.3275"/>
          <c:h val="0.64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'Continental Dpto'!$D$62:$D$66</c:f>
              <c:strCache/>
            </c:strRef>
          </c:cat>
          <c:val>
            <c:numRef>
              <c:f>'Continental Dpto'!$E$62:$E$66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PERÚ: EXTRACCIÓN DE LA ESPECIE TRUCHA POR TIPO DE UTILIZACIÓN Y DEPARTAMENTO, 2018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(TM)</a:t>
            </a:r>
          </a:p>
        </c:rich>
      </c:tx>
      <c:layout>
        <c:manualLayout>
          <c:xMode val="factor"/>
          <c:yMode val="factor"/>
          <c:x val="-0.011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24375"/>
          <c:w val="0.95475"/>
          <c:h val="0.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Trucha!$AJ$43</c:f>
              <c:strCache>
                <c:ptCount val="1"/>
                <c:pt idx="0">
                  <c:v>Fresco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Trucha!$AK$42:$AV$42</c:f>
              <c:strCache/>
            </c:strRef>
          </c:cat>
          <c:val>
            <c:numRef>
              <c:f>Trucha!$AK$43:$AV$43</c:f>
              <c:numCache/>
            </c:numRef>
          </c:val>
        </c:ser>
        <c:ser>
          <c:idx val="1"/>
          <c:order val="1"/>
          <c:tx>
            <c:strRef>
              <c:f>Trucha!$AJ$44</c:f>
              <c:strCache>
                <c:ptCount val="1"/>
                <c:pt idx="0">
                  <c:v>Congelado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Trucha!$AK$42:$AV$42</c:f>
              <c:strCache/>
            </c:strRef>
          </c:cat>
          <c:val>
            <c:numRef>
              <c:f>Trucha!$AK$44:$AV$44</c:f>
              <c:numCache/>
            </c:numRef>
          </c:val>
        </c:ser>
        <c:overlap val="100"/>
        <c:gapWidth val="50"/>
        <c:axId val="33764738"/>
        <c:axId val="35447187"/>
      </c:barChart>
      <c:lineChart>
        <c:grouping val="stacked"/>
        <c:varyColors val="0"/>
        <c:ser>
          <c:idx val="2"/>
          <c:order val="2"/>
          <c:tx>
            <c:strRef>
              <c:f>Trucha!$AJ$45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Trucha!$AK$42:$AV$42</c:f>
              <c:strCache/>
            </c:strRef>
          </c:cat>
          <c:val>
            <c:numRef>
              <c:f>Trucha!$AK$45:$AV$45</c:f>
              <c:numCache/>
            </c:numRef>
          </c:val>
          <c:smooth val="1"/>
        </c:ser>
        <c:axId val="50589228"/>
        <c:axId val="52649869"/>
      </c:line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7187"/>
        <c:crosses val="autoZero"/>
        <c:auto val="1"/>
        <c:lblOffset val="100"/>
        <c:tickLblSkip val="1"/>
        <c:noMultiLvlLbl val="0"/>
      </c:catAx>
      <c:valAx>
        <c:axId val="35447187"/>
        <c:scaling>
          <c:orientation val="minMax"/>
          <c:max val="80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764738"/>
        <c:crossesAt val="1"/>
        <c:crossBetween val="between"/>
        <c:dispUnits/>
      </c:valAx>
      <c:catAx>
        <c:axId val="50589228"/>
        <c:scaling>
          <c:orientation val="minMax"/>
        </c:scaling>
        <c:axPos val="b"/>
        <c:delete val="1"/>
        <c:majorTickMark val="out"/>
        <c:minorTickMark val="none"/>
        <c:tickLblPos val="nextTo"/>
        <c:crossAx val="52649869"/>
        <c:crosses val="autoZero"/>
        <c:auto val="1"/>
        <c:lblOffset val="100"/>
        <c:tickLblSkip val="1"/>
        <c:noMultiLvlLbl val="0"/>
      </c:catAx>
      <c:valAx>
        <c:axId val="52649869"/>
        <c:scaling>
          <c:orientation val="minMax"/>
          <c:max val="69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0589228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"/>
          <c:y val="0.89475"/>
          <c:w val="0.2842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21</xdr:row>
      <xdr:rowOff>171450</xdr:rowOff>
    </xdr:from>
    <xdr:to>
      <xdr:col>18</xdr:col>
      <xdr:colOff>66675</xdr:colOff>
      <xdr:row>50</xdr:row>
      <xdr:rowOff>142875</xdr:rowOff>
    </xdr:to>
    <xdr:graphicFrame>
      <xdr:nvGraphicFramePr>
        <xdr:cNvPr id="1" name="Gráfico 4"/>
        <xdr:cNvGraphicFramePr/>
      </xdr:nvGraphicFramePr>
      <xdr:xfrm>
        <a:off x="523875" y="6477000"/>
        <a:ext cx="133445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9525</xdr:rowOff>
    </xdr:from>
    <xdr:to>
      <xdr:col>17</xdr:col>
      <xdr:colOff>19050</xdr:colOff>
      <xdr:row>58</xdr:row>
      <xdr:rowOff>152400</xdr:rowOff>
    </xdr:to>
    <xdr:graphicFrame>
      <xdr:nvGraphicFramePr>
        <xdr:cNvPr id="1" name="Gráfico 2"/>
        <xdr:cNvGraphicFramePr/>
      </xdr:nvGraphicFramePr>
      <xdr:xfrm>
        <a:off x="104775" y="5972175"/>
        <a:ext cx="8734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15</xdr:row>
      <xdr:rowOff>85725</xdr:rowOff>
    </xdr:from>
    <xdr:to>
      <xdr:col>16</xdr:col>
      <xdr:colOff>0</xdr:colOff>
      <xdr:row>31</xdr:row>
      <xdr:rowOff>152400</xdr:rowOff>
    </xdr:to>
    <xdr:graphicFrame>
      <xdr:nvGraphicFramePr>
        <xdr:cNvPr id="2" name="Gráfico 3"/>
        <xdr:cNvGraphicFramePr/>
      </xdr:nvGraphicFramePr>
      <xdr:xfrm>
        <a:off x="76200" y="2809875"/>
        <a:ext cx="8677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1685925</xdr:colOff>
      <xdr:row>91</xdr:row>
      <xdr:rowOff>123825</xdr:rowOff>
    </xdr:from>
    <xdr:to>
      <xdr:col>11</xdr:col>
      <xdr:colOff>38100</xdr:colOff>
      <xdr:row>120</xdr:row>
      <xdr:rowOff>76200</xdr:rowOff>
    </xdr:to>
    <xdr:graphicFrame>
      <xdr:nvGraphicFramePr>
        <xdr:cNvPr id="1" name="Gráfico 1"/>
        <xdr:cNvGraphicFramePr/>
      </xdr:nvGraphicFramePr>
      <xdr:xfrm>
        <a:off x="6238875" y="15011400"/>
        <a:ext cx="5153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66675</xdr:colOff>
      <xdr:row>92</xdr:row>
      <xdr:rowOff>76200</xdr:rowOff>
    </xdr:from>
    <xdr:to>
      <xdr:col>5</xdr:col>
      <xdr:colOff>1247775</xdr:colOff>
      <xdr:row>121</xdr:row>
      <xdr:rowOff>38100</xdr:rowOff>
    </xdr:to>
    <xdr:graphicFrame>
      <xdr:nvGraphicFramePr>
        <xdr:cNvPr id="2" name="Gráfico 3"/>
        <xdr:cNvGraphicFramePr/>
      </xdr:nvGraphicFramePr>
      <xdr:xfrm>
        <a:off x="504825" y="15144750"/>
        <a:ext cx="5295900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19050</xdr:rowOff>
    </xdr:from>
    <xdr:to>
      <xdr:col>4</xdr:col>
      <xdr:colOff>1019175</xdr:colOff>
      <xdr:row>88</xdr:row>
      <xdr:rowOff>9525</xdr:rowOff>
    </xdr:to>
    <xdr:graphicFrame>
      <xdr:nvGraphicFramePr>
        <xdr:cNvPr id="1" name="Gráfico 2"/>
        <xdr:cNvGraphicFramePr/>
      </xdr:nvGraphicFramePr>
      <xdr:xfrm>
        <a:off x="0" y="12668250"/>
        <a:ext cx="4610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68</xdr:row>
      <xdr:rowOff>95250</xdr:rowOff>
    </xdr:from>
    <xdr:to>
      <xdr:col>10</xdr:col>
      <xdr:colOff>733425</xdr:colOff>
      <xdr:row>88</xdr:row>
      <xdr:rowOff>28575</xdr:rowOff>
    </xdr:to>
    <xdr:graphicFrame>
      <xdr:nvGraphicFramePr>
        <xdr:cNvPr id="2" name="Gráfico 4"/>
        <xdr:cNvGraphicFramePr/>
      </xdr:nvGraphicFramePr>
      <xdr:xfrm>
        <a:off x="4743450" y="12649200"/>
        <a:ext cx="50863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64</xdr:row>
      <xdr:rowOff>76200</xdr:rowOff>
    </xdr:from>
    <xdr:to>
      <xdr:col>5</xdr:col>
      <xdr:colOff>752475</xdr:colOff>
      <xdr:row>85</xdr:row>
      <xdr:rowOff>76200</xdr:rowOff>
    </xdr:to>
    <xdr:graphicFrame>
      <xdr:nvGraphicFramePr>
        <xdr:cNvPr id="1" name="Chart 2"/>
        <xdr:cNvGraphicFramePr/>
      </xdr:nvGraphicFramePr>
      <xdr:xfrm>
        <a:off x="238125" y="12849225"/>
        <a:ext cx="51435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952500</xdr:colOff>
      <xdr:row>64</xdr:row>
      <xdr:rowOff>76200</xdr:rowOff>
    </xdr:from>
    <xdr:to>
      <xdr:col>11</xdr:col>
      <xdr:colOff>9525</xdr:colOff>
      <xdr:row>85</xdr:row>
      <xdr:rowOff>66675</xdr:rowOff>
    </xdr:to>
    <xdr:graphicFrame>
      <xdr:nvGraphicFramePr>
        <xdr:cNvPr id="2" name="Chart 3"/>
        <xdr:cNvGraphicFramePr/>
      </xdr:nvGraphicFramePr>
      <xdr:xfrm>
        <a:off x="5581650" y="12849225"/>
        <a:ext cx="51149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60</xdr:row>
      <xdr:rowOff>133350</xdr:rowOff>
    </xdr:from>
    <xdr:to>
      <xdr:col>11</xdr:col>
      <xdr:colOff>333375</xdr:colOff>
      <xdr:row>90</xdr:row>
      <xdr:rowOff>133350</xdr:rowOff>
    </xdr:to>
    <xdr:graphicFrame>
      <xdr:nvGraphicFramePr>
        <xdr:cNvPr id="1" name="Chart 1"/>
        <xdr:cNvGraphicFramePr/>
      </xdr:nvGraphicFramePr>
      <xdr:xfrm>
        <a:off x="428625" y="14678025"/>
        <a:ext cx="97917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39</xdr:row>
      <xdr:rowOff>0</xdr:rowOff>
    </xdr:from>
    <xdr:to>
      <xdr:col>16</xdr:col>
      <xdr:colOff>533400</xdr:colOff>
      <xdr:row>70</xdr:row>
      <xdr:rowOff>95250</xdr:rowOff>
    </xdr:to>
    <xdr:graphicFrame>
      <xdr:nvGraphicFramePr>
        <xdr:cNvPr id="1" name="Gráfico 2"/>
        <xdr:cNvGraphicFramePr/>
      </xdr:nvGraphicFramePr>
      <xdr:xfrm>
        <a:off x="314325" y="8620125"/>
        <a:ext cx="1248727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35</xdr:row>
      <xdr:rowOff>142875</xdr:rowOff>
    </xdr:from>
    <xdr:to>
      <xdr:col>15</xdr:col>
      <xdr:colOff>676275</xdr:colOff>
      <xdr:row>67</xdr:row>
      <xdr:rowOff>28575</xdr:rowOff>
    </xdr:to>
    <xdr:graphicFrame>
      <xdr:nvGraphicFramePr>
        <xdr:cNvPr id="1" name="Chart 1"/>
        <xdr:cNvGraphicFramePr/>
      </xdr:nvGraphicFramePr>
      <xdr:xfrm>
        <a:off x="295275" y="8467725"/>
        <a:ext cx="110871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0.564</cdr:y>
    </cdr:from>
    <cdr:to>
      <cdr:x>0.5105</cdr:x>
      <cdr:y>0.6235</cdr:y>
    </cdr:to>
    <cdr:sp>
      <cdr:nvSpPr>
        <cdr:cNvPr id="1" name="Text Box 1"/>
        <cdr:cNvSpPr txBox="1">
          <a:spLocks noChangeArrowheads="1"/>
        </cdr:cNvSpPr>
      </cdr:nvSpPr>
      <cdr:spPr>
        <a:xfrm>
          <a:off x="5486400" y="2085975"/>
          <a:ext cx="190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123825</xdr:rowOff>
    </xdr:from>
    <xdr:to>
      <xdr:col>17</xdr:col>
      <xdr:colOff>76200</xdr:colOff>
      <xdr:row>36</xdr:row>
      <xdr:rowOff>19050</xdr:rowOff>
    </xdr:to>
    <xdr:graphicFrame>
      <xdr:nvGraphicFramePr>
        <xdr:cNvPr id="1" name="Chart 2"/>
        <xdr:cNvGraphicFramePr/>
      </xdr:nvGraphicFramePr>
      <xdr:xfrm>
        <a:off x="219075" y="3476625"/>
        <a:ext cx="11144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28575</xdr:rowOff>
    </xdr:from>
    <xdr:to>
      <xdr:col>16</xdr:col>
      <xdr:colOff>9525</xdr:colOff>
      <xdr:row>59</xdr:row>
      <xdr:rowOff>47625</xdr:rowOff>
    </xdr:to>
    <xdr:graphicFrame>
      <xdr:nvGraphicFramePr>
        <xdr:cNvPr id="2" name="Gráfico 1"/>
        <xdr:cNvGraphicFramePr/>
      </xdr:nvGraphicFramePr>
      <xdr:xfrm>
        <a:off x="190500" y="7772400"/>
        <a:ext cx="110585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143"/>
  <sheetViews>
    <sheetView showGridLines="0" zoomScale="80" zoomScaleNormal="80" zoomScaleSheetLayoutView="70" workbookViewId="0" topLeftCell="A7">
      <selection activeCell="F17" sqref="F17"/>
    </sheetView>
  </sheetViews>
  <sheetFormatPr defaultColWidth="9.140625" defaultRowHeight="12.75"/>
  <cols>
    <col min="1" max="1" width="5.140625" style="1" customWidth="1"/>
    <col min="2" max="2" width="1.57421875" style="1" customWidth="1"/>
    <col min="3" max="3" width="2.57421875" style="1" customWidth="1"/>
    <col min="4" max="4" width="3.8515625" style="1" customWidth="1"/>
    <col min="5" max="5" width="29.00390625" style="1" customWidth="1"/>
    <col min="6" max="6" width="12.28125" style="38" customWidth="1"/>
    <col min="7" max="18" width="12.7109375" style="1" customWidth="1"/>
    <col min="19" max="19" width="0.9921875" style="1" customWidth="1"/>
    <col min="20" max="20" width="3.00390625" style="1" customWidth="1"/>
    <col min="21" max="21" width="37.57421875" style="103" bestFit="1" customWidth="1"/>
    <col min="22" max="22" width="14.57421875" style="103" customWidth="1"/>
    <col min="23" max="23" width="16.28125" style="238" bestFit="1" customWidth="1"/>
    <col min="24" max="24" width="14.00390625" style="238" bestFit="1" customWidth="1"/>
    <col min="25" max="25" width="16.28125" style="238" bestFit="1" customWidth="1"/>
    <col min="26" max="29" width="9.140625" style="238" customWidth="1"/>
    <col min="30" max="30" width="19.00390625" style="238" customWidth="1"/>
    <col min="31" max="38" width="9.140625" style="238" customWidth="1"/>
    <col min="39" max="40" width="9.140625" style="192" customWidth="1"/>
    <col min="41" max="16384" width="9.140625" style="1" customWidth="1"/>
  </cols>
  <sheetData>
    <row r="1" spans="2:40" s="2" customFormat="1" ht="18">
      <c r="B1" s="512" t="s">
        <v>290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U1" s="226"/>
      <c r="V1" s="226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187"/>
      <c r="AN1" s="187"/>
    </row>
    <row r="2" spans="2:40" s="2" customFormat="1" ht="18">
      <c r="B2" s="512" t="s">
        <v>145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U2" s="226"/>
      <c r="V2" s="226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187"/>
      <c r="AN2" s="187"/>
    </row>
    <row r="3" spans="3:40" s="2" customFormat="1" ht="15.75">
      <c r="C3" s="2" t="s">
        <v>0</v>
      </c>
      <c r="F3" s="37"/>
      <c r="H3" s="2" t="s">
        <v>0</v>
      </c>
      <c r="U3" s="226"/>
      <c r="V3" s="226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187"/>
      <c r="AN3" s="187"/>
    </row>
    <row r="4" spans="2:40" s="10" customFormat="1" ht="39.75" customHeight="1">
      <c r="B4" s="466" t="s">
        <v>142</v>
      </c>
      <c r="C4" s="467"/>
      <c r="D4" s="467"/>
      <c r="E4" s="467"/>
      <c r="F4" s="142" t="s">
        <v>1</v>
      </c>
      <c r="G4" s="142" t="s">
        <v>2</v>
      </c>
      <c r="H4" s="142" t="s">
        <v>3</v>
      </c>
      <c r="I4" s="142" t="s">
        <v>4</v>
      </c>
      <c r="J4" s="142" t="s">
        <v>5</v>
      </c>
      <c r="K4" s="142" t="s">
        <v>6</v>
      </c>
      <c r="L4" s="142" t="s">
        <v>7</v>
      </c>
      <c r="M4" s="142" t="s">
        <v>8</v>
      </c>
      <c r="N4" s="142" t="s">
        <v>9</v>
      </c>
      <c r="O4" s="142" t="s">
        <v>10</v>
      </c>
      <c r="P4" s="142" t="s">
        <v>11</v>
      </c>
      <c r="Q4" s="142" t="s">
        <v>12</v>
      </c>
      <c r="R4" s="143" t="s">
        <v>13</v>
      </c>
      <c r="S4" s="144"/>
      <c r="U4" s="228"/>
      <c r="V4" s="228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188"/>
      <c r="AN4" s="188"/>
    </row>
    <row r="5" spans="2:40" s="11" customFormat="1" ht="15" customHeight="1">
      <c r="B5" s="49"/>
      <c r="C5" s="50"/>
      <c r="D5" s="50"/>
      <c r="E5" s="50"/>
      <c r="F5" s="51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8"/>
      <c r="S5" s="104"/>
      <c r="U5" s="226"/>
      <c r="V5" s="226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189"/>
      <c r="AN5" s="189"/>
    </row>
    <row r="6" spans="2:40" s="10" customFormat="1" ht="30" customHeight="1">
      <c r="B6" s="463" t="s">
        <v>1</v>
      </c>
      <c r="C6" s="464"/>
      <c r="D6" s="464"/>
      <c r="E6" s="464"/>
      <c r="F6" s="145">
        <f aca="true" t="shared" si="0" ref="F6:R6">+F8+F14</f>
        <v>7299360.759101167</v>
      </c>
      <c r="G6" s="145">
        <f t="shared" si="0"/>
        <v>783808.391140118</v>
      </c>
      <c r="H6" s="145">
        <f t="shared" si="0"/>
        <v>196106.65007702282</v>
      </c>
      <c r="I6" s="145">
        <f t="shared" si="0"/>
        <v>165569.2676694484</v>
      </c>
      <c r="J6" s="145">
        <f t="shared" si="0"/>
        <v>1228953.141402721</v>
      </c>
      <c r="K6" s="145">
        <f t="shared" si="0"/>
        <v>1771382.2781127375</v>
      </c>
      <c r="L6" s="145">
        <f t="shared" si="0"/>
        <v>685795.0558303627</v>
      </c>
      <c r="M6" s="145">
        <f t="shared" si="0"/>
        <v>140523.10101087048</v>
      </c>
      <c r="N6" s="145">
        <f t="shared" si="0"/>
        <v>83840.63859154412</v>
      </c>
      <c r="O6" s="145">
        <f t="shared" si="0"/>
        <v>65136.706859160724</v>
      </c>
      <c r="P6" s="145">
        <f t="shared" si="0"/>
        <v>103780.86191092196</v>
      </c>
      <c r="Q6" s="145">
        <f t="shared" si="0"/>
        <v>962531.7451373619</v>
      </c>
      <c r="R6" s="145">
        <f t="shared" si="0"/>
        <v>1111932.9213588987</v>
      </c>
      <c r="S6" s="146"/>
      <c r="U6" s="252"/>
      <c r="V6" s="231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188"/>
      <c r="AN6" s="188"/>
    </row>
    <row r="7" spans="2:40" s="13" customFormat="1" ht="15" customHeight="1">
      <c r="B7" s="52"/>
      <c r="C7" s="53"/>
      <c r="D7" s="53"/>
      <c r="E7" s="53"/>
      <c r="F7" s="442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12"/>
      <c r="U7" s="103"/>
      <c r="V7" s="103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185"/>
      <c r="AN7" s="185"/>
    </row>
    <row r="8" spans="2:40" s="14" customFormat="1" ht="30" customHeight="1">
      <c r="B8" s="147"/>
      <c r="C8" s="148" t="s">
        <v>14</v>
      </c>
      <c r="D8" s="148" t="s">
        <v>149</v>
      </c>
      <c r="E8" s="148"/>
      <c r="F8" s="145">
        <f aca="true" t="shared" si="1" ref="F8:R8">+F9+F10+F11+F12</f>
        <v>1226034.4605011672</v>
      </c>
      <c r="G8" s="145">
        <f t="shared" si="1"/>
        <v>95400.91314011818</v>
      </c>
      <c r="H8" s="145">
        <f t="shared" si="1"/>
        <v>119151.82407702281</v>
      </c>
      <c r="I8" s="145">
        <f t="shared" si="1"/>
        <v>142458.0531694484</v>
      </c>
      <c r="J8" s="145">
        <f t="shared" si="1"/>
        <v>132820.06740272063</v>
      </c>
      <c r="K8" s="145">
        <f t="shared" si="1"/>
        <v>124874.4341127373</v>
      </c>
      <c r="L8" s="145">
        <f t="shared" si="1"/>
        <v>118492.60383036264</v>
      </c>
      <c r="M8" s="145">
        <f t="shared" si="1"/>
        <v>78312.69651087046</v>
      </c>
      <c r="N8" s="145">
        <f t="shared" si="1"/>
        <v>81687.67359154412</v>
      </c>
      <c r="O8" s="145">
        <f t="shared" si="1"/>
        <v>64329.70485916072</v>
      </c>
      <c r="P8" s="145">
        <f t="shared" si="1"/>
        <v>97163.61591092196</v>
      </c>
      <c r="Q8" s="145">
        <f t="shared" si="1"/>
        <v>94360.5625373619</v>
      </c>
      <c r="R8" s="145">
        <f t="shared" si="1"/>
        <v>76982.31135889827</v>
      </c>
      <c r="S8" s="146"/>
      <c r="U8" s="233"/>
      <c r="V8" s="234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190"/>
      <c r="AN8" s="190"/>
    </row>
    <row r="9" spans="2:40" s="13" customFormat="1" ht="30" customHeight="1">
      <c r="B9" s="52"/>
      <c r="C9" s="53"/>
      <c r="D9" s="53"/>
      <c r="E9" s="59" t="s">
        <v>150</v>
      </c>
      <c r="F9" s="54">
        <f>SUM(G9:R9)</f>
        <v>134516.36333999998</v>
      </c>
      <c r="G9" s="82">
        <v>9560</v>
      </c>
      <c r="H9" s="82">
        <v>10661</v>
      </c>
      <c r="I9" s="82">
        <v>17036</v>
      </c>
      <c r="J9" s="82">
        <v>13236.701939999999</v>
      </c>
      <c r="K9" s="82">
        <v>11572.783519999997</v>
      </c>
      <c r="L9" s="82">
        <v>5642.0661</v>
      </c>
      <c r="M9" s="82">
        <v>4434.78102</v>
      </c>
      <c r="N9" s="82">
        <v>10901</v>
      </c>
      <c r="O9" s="82">
        <v>8212</v>
      </c>
      <c r="P9" s="82">
        <v>16094.660380000003</v>
      </c>
      <c r="Q9" s="82">
        <v>17355.84982</v>
      </c>
      <c r="R9" s="82">
        <v>9809.520559999999</v>
      </c>
      <c r="S9" s="12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32"/>
      <c r="AI9" s="232"/>
      <c r="AJ9" s="232"/>
      <c r="AK9" s="232"/>
      <c r="AL9" s="232"/>
      <c r="AM9" s="185"/>
      <c r="AN9" s="185"/>
    </row>
    <row r="10" spans="2:40" s="13" customFormat="1" ht="30" customHeight="1">
      <c r="B10" s="52"/>
      <c r="C10" s="53"/>
      <c r="D10" s="53"/>
      <c r="E10" s="163" t="s">
        <v>151</v>
      </c>
      <c r="F10" s="54">
        <f>SUM(G10:R10)</f>
        <v>575715.5651272149</v>
      </c>
      <c r="G10" s="82">
        <v>35247.9074800001</v>
      </c>
      <c r="H10" s="82">
        <v>60650.177511273105</v>
      </c>
      <c r="I10" s="82">
        <v>73908</v>
      </c>
      <c r="J10" s="82">
        <v>73491.08237796294</v>
      </c>
      <c r="K10" s="82">
        <v>69836.7095709992</v>
      </c>
      <c r="L10" s="82">
        <v>73505.5</v>
      </c>
      <c r="M10" s="82">
        <v>33566.797615410025</v>
      </c>
      <c r="N10" s="82">
        <v>33721.92960925093</v>
      </c>
      <c r="O10" s="82">
        <v>20634</v>
      </c>
      <c r="P10" s="82">
        <v>40137.87561562776</v>
      </c>
      <c r="Q10" s="82">
        <v>36227</v>
      </c>
      <c r="R10" s="82">
        <v>24788.58534669083</v>
      </c>
      <c r="S10" s="12"/>
      <c r="U10" s="232"/>
      <c r="V10" s="232"/>
      <c r="W10" s="236"/>
      <c r="X10" s="232"/>
      <c r="Y10" s="232"/>
      <c r="Z10" s="232"/>
      <c r="AA10" s="232"/>
      <c r="AB10" s="232"/>
      <c r="AC10" s="232"/>
      <c r="AD10" s="232"/>
      <c r="AE10" s="232"/>
      <c r="AF10" s="232"/>
      <c r="AG10" s="236"/>
      <c r="AH10" s="232"/>
      <c r="AI10" s="232"/>
      <c r="AJ10" s="232"/>
      <c r="AK10" s="232"/>
      <c r="AL10" s="232"/>
      <c r="AM10" s="185"/>
      <c r="AN10" s="185"/>
    </row>
    <row r="11" spans="2:40" s="16" customFormat="1" ht="30" customHeight="1">
      <c r="B11" s="183"/>
      <c r="C11" s="59"/>
      <c r="D11" s="59"/>
      <c r="E11" s="59" t="s">
        <v>254</v>
      </c>
      <c r="F11" s="181">
        <f>SUM(G11:R11)</f>
        <v>66219.6556</v>
      </c>
      <c r="G11" s="163">
        <v>6114</v>
      </c>
      <c r="H11" s="163">
        <v>4261</v>
      </c>
      <c r="I11" s="163">
        <v>7147.5</v>
      </c>
      <c r="J11" s="163">
        <v>6000</v>
      </c>
      <c r="K11" s="163">
        <v>6027.61</v>
      </c>
      <c r="L11" s="163">
        <v>5799.517</v>
      </c>
      <c r="M11" s="163">
        <v>5684.2396</v>
      </c>
      <c r="N11" s="163">
        <v>5976.707</v>
      </c>
      <c r="O11" s="163">
        <v>5631.74625</v>
      </c>
      <c r="P11" s="163">
        <v>4877.15125</v>
      </c>
      <c r="Q11" s="163">
        <v>4839.286</v>
      </c>
      <c r="R11" s="163">
        <v>3860.8985000000002</v>
      </c>
      <c r="S11" s="91"/>
      <c r="U11" s="287"/>
      <c r="V11" s="287"/>
      <c r="W11" s="287"/>
      <c r="X11" s="287"/>
      <c r="Y11" s="287"/>
      <c r="Z11" s="185"/>
      <c r="AA11" s="185"/>
      <c r="AB11" s="185"/>
      <c r="AC11" s="185"/>
      <c r="AD11" s="185"/>
      <c r="AE11" s="185"/>
      <c r="AF11" s="185"/>
      <c r="AG11" s="232"/>
      <c r="AH11" s="103"/>
      <c r="AI11" s="232"/>
      <c r="AJ11" s="232"/>
      <c r="AK11" s="232"/>
      <c r="AL11" s="232"/>
      <c r="AM11" s="185"/>
      <c r="AN11" s="185"/>
    </row>
    <row r="12" spans="2:40" s="13" customFormat="1" ht="30" customHeight="1">
      <c r="B12" s="52"/>
      <c r="C12" s="59"/>
      <c r="D12" s="59"/>
      <c r="E12" s="163" t="s">
        <v>285</v>
      </c>
      <c r="F12" s="181">
        <f>SUM(G12:R12)</f>
        <v>449582.87643395254</v>
      </c>
      <c r="G12" s="163">
        <v>44479.005660118084</v>
      </c>
      <c r="H12" s="163">
        <v>43579.64656574971</v>
      </c>
      <c r="I12" s="163">
        <v>44366.55316944838</v>
      </c>
      <c r="J12" s="163">
        <v>40092.283084757684</v>
      </c>
      <c r="K12" s="163">
        <v>37437.33102173811</v>
      </c>
      <c r="L12" s="163">
        <v>33545.52073036266</v>
      </c>
      <c r="M12" s="163">
        <v>34626.87827546043</v>
      </c>
      <c r="N12" s="163">
        <v>31088.036982293197</v>
      </c>
      <c r="O12" s="163">
        <v>29851.958609160727</v>
      </c>
      <c r="P12" s="163">
        <v>36053.928665294196</v>
      </c>
      <c r="Q12" s="163">
        <v>35938.426717361894</v>
      </c>
      <c r="R12" s="163">
        <v>38523.306952207444</v>
      </c>
      <c r="S12" s="91"/>
      <c r="T12" s="16"/>
      <c r="U12" s="185"/>
      <c r="V12" s="185"/>
      <c r="W12" s="185"/>
      <c r="X12" s="16"/>
      <c r="Y12" s="16"/>
      <c r="Z12" s="16"/>
      <c r="AA12" s="16"/>
      <c r="AB12" s="16"/>
      <c r="AC12" s="16"/>
      <c r="AD12" s="16"/>
      <c r="AE12" s="16"/>
      <c r="AF12" s="16"/>
      <c r="AG12" s="268"/>
      <c r="AH12" s="232"/>
      <c r="AI12" s="232"/>
      <c r="AJ12" s="232"/>
      <c r="AK12" s="232"/>
      <c r="AL12" s="232"/>
      <c r="AM12" s="185"/>
      <c r="AN12" s="185"/>
    </row>
    <row r="13" spans="2:40" s="13" customFormat="1" ht="15" customHeight="1">
      <c r="B13" s="52"/>
      <c r="C13" s="53"/>
      <c r="D13" s="53"/>
      <c r="E13" s="53"/>
      <c r="F13" s="5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12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232"/>
      <c r="AH13" s="232"/>
      <c r="AI13" s="232"/>
      <c r="AJ13" s="232"/>
      <c r="AK13" s="232"/>
      <c r="AL13" s="232"/>
      <c r="AM13" s="185"/>
      <c r="AN13" s="185"/>
    </row>
    <row r="14" spans="2:40" s="14" customFormat="1" ht="30" customHeight="1">
      <c r="B14" s="147"/>
      <c r="C14" s="148" t="s">
        <v>19</v>
      </c>
      <c r="D14" s="148" t="s">
        <v>153</v>
      </c>
      <c r="E14" s="148"/>
      <c r="F14" s="148">
        <f>SUM(G14:R14)</f>
        <v>6073326.2986</v>
      </c>
      <c r="G14" s="148">
        <f>SUM(G15:G17)</f>
        <v>688407.4779999999</v>
      </c>
      <c r="H14" s="148">
        <f aca="true" t="shared" si="2" ref="H14:Q14">SUM(H15:H17)</f>
        <v>76954.826</v>
      </c>
      <c r="I14" s="148">
        <f t="shared" si="2"/>
        <v>23111.214500000002</v>
      </c>
      <c r="J14" s="148">
        <f t="shared" si="2"/>
        <v>1096133.0740000003</v>
      </c>
      <c r="K14" s="148">
        <f t="shared" si="2"/>
        <v>1646507.844</v>
      </c>
      <c r="L14" s="148">
        <f t="shared" si="2"/>
        <v>567302.452</v>
      </c>
      <c r="M14" s="148">
        <f t="shared" si="2"/>
        <v>62210.40450000001</v>
      </c>
      <c r="N14" s="148">
        <f t="shared" si="2"/>
        <v>2152.965</v>
      </c>
      <c r="O14" s="148">
        <f t="shared" si="2"/>
        <v>807.0020000000001</v>
      </c>
      <c r="P14" s="148">
        <f t="shared" si="2"/>
        <v>6617.246</v>
      </c>
      <c r="Q14" s="148">
        <f t="shared" si="2"/>
        <v>868171.1826000001</v>
      </c>
      <c r="R14" s="148">
        <f>SUM(R15:R17)</f>
        <v>1034950.6100000006</v>
      </c>
      <c r="S14" s="146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35"/>
      <c r="AI14" s="235"/>
      <c r="AJ14" s="235"/>
      <c r="AK14" s="235"/>
      <c r="AL14" s="235"/>
      <c r="AM14" s="190"/>
      <c r="AN14" s="190"/>
    </row>
    <row r="15" spans="2:40" s="13" customFormat="1" ht="30" customHeight="1">
      <c r="B15" s="52"/>
      <c r="C15" s="53"/>
      <c r="D15" s="53"/>
      <c r="E15" s="53" t="s">
        <v>64</v>
      </c>
      <c r="F15" s="54">
        <f>SUM(G15:R15)</f>
        <v>6050046.399600001</v>
      </c>
      <c r="G15" s="80">
        <v>685548.3279999999</v>
      </c>
      <c r="H15" s="80">
        <v>74769.205</v>
      </c>
      <c r="I15" s="80">
        <v>19164.485</v>
      </c>
      <c r="J15" s="80">
        <v>1094091.2030000002</v>
      </c>
      <c r="K15" s="80">
        <v>1644648.2410000002</v>
      </c>
      <c r="L15" s="80">
        <v>565833.4</v>
      </c>
      <c r="M15" s="80">
        <v>60152.700000000004</v>
      </c>
      <c r="N15" s="80">
        <v>1072.58</v>
      </c>
      <c r="O15" s="266" t="s">
        <v>21</v>
      </c>
      <c r="P15" s="80">
        <v>5520.095</v>
      </c>
      <c r="Q15" s="80">
        <v>866346.6196000001</v>
      </c>
      <c r="R15" s="80">
        <v>1032899.5430000005</v>
      </c>
      <c r="S15" s="12"/>
      <c r="U15" s="275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32"/>
      <c r="AI15" s="232"/>
      <c r="AJ15" s="232"/>
      <c r="AK15" s="232"/>
      <c r="AL15" s="232"/>
      <c r="AM15" s="185"/>
      <c r="AN15" s="185"/>
    </row>
    <row r="16" spans="2:40" s="13" customFormat="1" ht="30" customHeight="1">
      <c r="B16" s="52"/>
      <c r="C16" s="53"/>
      <c r="D16" s="53"/>
      <c r="E16" s="82" t="s">
        <v>268</v>
      </c>
      <c r="F16" s="54">
        <f>SUM(G16:R16)</f>
        <v>22841.439499999997</v>
      </c>
      <c r="G16" s="80">
        <v>2858.52</v>
      </c>
      <c r="H16" s="80">
        <v>2185.621</v>
      </c>
      <c r="I16" s="80">
        <v>3922.8395</v>
      </c>
      <c r="J16" s="80">
        <v>2016.9409999999998</v>
      </c>
      <c r="K16" s="80">
        <v>1859.603</v>
      </c>
      <c r="L16" s="80">
        <v>1469.0520000000001</v>
      </c>
      <c r="M16" s="80">
        <v>1934.535</v>
      </c>
      <c r="N16" s="80">
        <v>834.615</v>
      </c>
      <c r="O16" s="80">
        <v>807.0020000000001</v>
      </c>
      <c r="P16" s="80">
        <v>1077.081</v>
      </c>
      <c r="Q16" s="80">
        <v>1824.5629999999999</v>
      </c>
      <c r="R16" s="80">
        <v>2051.067</v>
      </c>
      <c r="S16" s="12"/>
      <c r="U16" s="276"/>
      <c r="V16" s="103"/>
      <c r="W16" s="237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185"/>
      <c r="AN16" s="185"/>
    </row>
    <row r="17" spans="2:40" s="13" customFormat="1" ht="30" customHeight="1">
      <c r="B17" s="52"/>
      <c r="C17" s="53"/>
      <c r="D17" s="53"/>
      <c r="E17" s="53" t="s">
        <v>144</v>
      </c>
      <c r="F17" s="54">
        <f>SUM(G17:R17)</f>
        <v>438.4595</v>
      </c>
      <c r="G17" s="274">
        <v>0.63</v>
      </c>
      <c r="H17" s="274" t="s">
        <v>21</v>
      </c>
      <c r="I17" s="80">
        <v>23.89</v>
      </c>
      <c r="J17" s="80">
        <v>24.93</v>
      </c>
      <c r="K17" s="80" t="s">
        <v>21</v>
      </c>
      <c r="L17" s="80" t="s">
        <v>21</v>
      </c>
      <c r="M17" s="80">
        <v>123.1695</v>
      </c>
      <c r="N17" s="274">
        <v>245.76999999999998</v>
      </c>
      <c r="O17" s="274" t="s">
        <v>21</v>
      </c>
      <c r="P17" s="80">
        <v>20.07</v>
      </c>
      <c r="Q17" s="80" t="s">
        <v>21</v>
      </c>
      <c r="R17" s="80" t="s">
        <v>21</v>
      </c>
      <c r="S17" s="12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32"/>
      <c r="AI17" s="232"/>
      <c r="AJ17" s="232"/>
      <c r="AK17" s="232"/>
      <c r="AL17" s="232"/>
      <c r="AM17" s="185"/>
      <c r="AN17" s="185"/>
    </row>
    <row r="18" spans="2:33" ht="15" customHeight="1">
      <c r="B18" s="55"/>
      <c r="C18" s="56"/>
      <c r="D18" s="56"/>
      <c r="E18" s="56"/>
      <c r="F18" s="57"/>
      <c r="G18" s="56"/>
      <c r="H18" s="64"/>
      <c r="I18" s="64"/>
      <c r="J18" s="64"/>
      <c r="K18" s="64"/>
      <c r="L18" s="64"/>
      <c r="M18" s="64"/>
      <c r="N18" s="64"/>
      <c r="O18" s="56"/>
      <c r="P18" s="56"/>
      <c r="Q18" s="56"/>
      <c r="R18" s="56"/>
      <c r="S18" s="3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</row>
    <row r="19" spans="2:40" s="39" customFormat="1" ht="15">
      <c r="B19" s="39" t="s">
        <v>240</v>
      </c>
      <c r="C19" s="5"/>
      <c r="F19" s="40"/>
      <c r="P19" s="39" t="s">
        <v>0</v>
      </c>
      <c r="U19" s="103"/>
      <c r="V19" s="103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193"/>
      <c r="AN19" s="193"/>
    </row>
    <row r="20" spans="2:40" s="39" customFormat="1" ht="15">
      <c r="B20" s="39" t="s">
        <v>286</v>
      </c>
      <c r="C20" s="5"/>
      <c r="F20" s="40"/>
      <c r="U20" s="103"/>
      <c r="V20" s="103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193"/>
      <c r="AN20" s="193"/>
    </row>
    <row r="21" spans="2:40" s="39" customFormat="1" ht="15">
      <c r="B21" s="39" t="s">
        <v>148</v>
      </c>
      <c r="C21" s="5"/>
      <c r="F21" s="40"/>
      <c r="U21" s="103"/>
      <c r="V21" s="103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193"/>
      <c r="AN21" s="193"/>
    </row>
    <row r="22" spans="6:40" s="87" customFormat="1" ht="15">
      <c r="F22" s="8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U22" s="103"/>
      <c r="V22" s="103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192"/>
      <c r="AN22" s="192"/>
    </row>
    <row r="23" spans="6:40" s="87" customFormat="1" ht="15">
      <c r="F23" s="16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92"/>
      <c r="U23" s="103"/>
      <c r="V23" s="103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192"/>
      <c r="AN23" s="192"/>
    </row>
    <row r="24" spans="6:40" s="87" customFormat="1" ht="15">
      <c r="F24" s="8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92"/>
      <c r="U24" s="103"/>
      <c r="V24" s="103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192"/>
      <c r="AN24" s="192"/>
    </row>
    <row r="25" spans="6:40" s="87" customFormat="1" ht="12.75">
      <c r="F25" s="88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0"/>
      <c r="T25" s="90"/>
      <c r="AH25" s="238"/>
      <c r="AI25" s="238"/>
      <c r="AJ25" s="238"/>
      <c r="AK25" s="238"/>
      <c r="AL25" s="238"/>
      <c r="AM25" s="192"/>
      <c r="AN25" s="192"/>
    </row>
    <row r="26" spans="6:40" s="87" customFormat="1" ht="12.75">
      <c r="F26" s="88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  <c r="AH26" s="238"/>
      <c r="AI26" s="238"/>
      <c r="AJ26" s="238"/>
      <c r="AK26" s="238"/>
      <c r="AL26" s="238"/>
      <c r="AM26" s="192"/>
      <c r="AN26" s="192"/>
    </row>
    <row r="27" spans="6:40" s="87" customFormat="1" ht="12.75"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AH27" s="238"/>
      <c r="AI27" s="238"/>
      <c r="AJ27" s="238"/>
      <c r="AK27" s="238"/>
      <c r="AL27" s="238"/>
      <c r="AM27" s="192"/>
      <c r="AN27" s="192"/>
    </row>
    <row r="28" spans="5:40" s="423" customFormat="1" ht="12.75"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AH28" s="427"/>
      <c r="AI28" s="427"/>
      <c r="AJ28" s="427"/>
      <c r="AK28" s="427"/>
      <c r="AL28" s="427"/>
      <c r="AM28" s="427"/>
      <c r="AN28" s="427"/>
    </row>
    <row r="29" spans="5:40" s="423" customFormat="1" ht="12.75"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AH29" s="238"/>
      <c r="AI29" s="427"/>
      <c r="AJ29" s="427"/>
      <c r="AK29" s="427"/>
      <c r="AL29" s="427"/>
      <c r="AM29" s="427"/>
      <c r="AN29" s="427"/>
    </row>
    <row r="30" spans="5:40" s="423" customFormat="1" ht="12.75"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AH30" s="429"/>
      <c r="AI30" s="428"/>
      <c r="AJ30" s="427"/>
      <c r="AK30" s="427"/>
      <c r="AL30" s="427"/>
      <c r="AM30" s="427"/>
      <c r="AN30" s="427"/>
    </row>
    <row r="31" spans="5:40" s="423" customFormat="1" ht="12.75"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AH31" s="429"/>
      <c r="AI31" s="428"/>
      <c r="AJ31" s="427"/>
      <c r="AK31" s="427"/>
      <c r="AL31" s="427"/>
      <c r="AM31" s="427"/>
      <c r="AN31" s="427"/>
    </row>
    <row r="32" spans="5:40" s="423" customFormat="1" ht="15">
      <c r="E32" s="240"/>
      <c r="F32" s="103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AH32" s="429"/>
      <c r="AI32" s="428"/>
      <c r="AJ32" s="427"/>
      <c r="AK32" s="427"/>
      <c r="AL32" s="427"/>
      <c r="AM32" s="427"/>
      <c r="AN32" s="427"/>
    </row>
    <row r="33" spans="5:40" s="423" customFormat="1" ht="15">
      <c r="E33" s="240"/>
      <c r="F33" s="103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AH33" s="429"/>
      <c r="AI33" s="428"/>
      <c r="AJ33" s="427"/>
      <c r="AK33" s="427"/>
      <c r="AL33" s="427"/>
      <c r="AM33" s="427"/>
      <c r="AN33" s="427"/>
    </row>
    <row r="34" spans="5:40" s="423" customFormat="1" ht="15">
      <c r="E34" s="240"/>
      <c r="F34" s="103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AH34" s="238"/>
      <c r="AI34" s="427"/>
      <c r="AJ34" s="427"/>
      <c r="AK34" s="427"/>
      <c r="AL34" s="427"/>
      <c r="AM34" s="427"/>
      <c r="AN34" s="427"/>
    </row>
    <row r="35" spans="5:40" s="423" customFormat="1" ht="15">
      <c r="E35" s="425"/>
      <c r="F35" s="426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AH35" s="427"/>
      <c r="AI35" s="427"/>
      <c r="AJ35" s="427"/>
      <c r="AK35" s="427"/>
      <c r="AL35" s="427"/>
      <c r="AM35" s="427"/>
      <c r="AN35" s="427"/>
    </row>
    <row r="36" spans="5:40" s="423" customFormat="1" ht="15">
      <c r="E36" s="103"/>
      <c r="F36" s="103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U36" s="426"/>
      <c r="V36" s="426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</row>
    <row r="37" spans="5:40" s="423" customFormat="1" ht="15.75">
      <c r="E37" s="288" t="s">
        <v>142</v>
      </c>
      <c r="F37" s="288" t="s">
        <v>2</v>
      </c>
      <c r="G37" s="289" t="s">
        <v>3</v>
      </c>
      <c r="H37" s="289" t="s">
        <v>4</v>
      </c>
      <c r="I37" s="289" t="s">
        <v>5</v>
      </c>
      <c r="J37" s="289" t="s">
        <v>6</v>
      </c>
      <c r="K37" s="289" t="s">
        <v>7</v>
      </c>
      <c r="L37" s="289" t="s">
        <v>8</v>
      </c>
      <c r="M37" s="289" t="s">
        <v>9</v>
      </c>
      <c r="N37" s="289" t="s">
        <v>143</v>
      </c>
      <c r="O37" s="289" t="s">
        <v>11</v>
      </c>
      <c r="P37" s="289" t="s">
        <v>12</v>
      </c>
      <c r="Q37" s="289" t="s">
        <v>13</v>
      </c>
      <c r="U37" s="426"/>
      <c r="V37" s="426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</row>
    <row r="38" spans="5:40" s="423" customFormat="1" ht="15.75">
      <c r="E38" s="290" t="s">
        <v>149</v>
      </c>
      <c r="F38" s="290">
        <f>+G8</f>
        <v>95400.91314011818</v>
      </c>
      <c r="G38" s="290">
        <f>+H8</f>
        <v>119151.82407702281</v>
      </c>
      <c r="H38" s="290">
        <f>+I8</f>
        <v>142458.0531694484</v>
      </c>
      <c r="I38" s="290">
        <f>+J8</f>
        <v>132820.06740272063</v>
      </c>
      <c r="J38" s="290">
        <f>+K8</f>
        <v>124874.4341127373</v>
      </c>
      <c r="K38" s="290">
        <f>+L8</f>
        <v>118492.60383036264</v>
      </c>
      <c r="L38" s="290">
        <f>+M8</f>
        <v>78312.69651087046</v>
      </c>
      <c r="M38" s="290">
        <f>+N8</f>
        <v>81687.67359154412</v>
      </c>
      <c r="N38" s="290">
        <f>+O8</f>
        <v>64329.70485916072</v>
      </c>
      <c r="O38" s="290">
        <f>+P8</f>
        <v>97163.61591092196</v>
      </c>
      <c r="P38" s="290">
        <f>+Q8</f>
        <v>94360.5625373619</v>
      </c>
      <c r="Q38" s="290">
        <f>+R8</f>
        <v>76982.31135889827</v>
      </c>
      <c r="U38" s="426"/>
      <c r="V38" s="426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</row>
    <row r="39" spans="5:40" s="423" customFormat="1" ht="15.75">
      <c r="E39" s="290" t="s">
        <v>153</v>
      </c>
      <c r="F39" s="290">
        <f>+G14</f>
        <v>688407.4779999999</v>
      </c>
      <c r="G39" s="290">
        <f>+H14</f>
        <v>76954.826</v>
      </c>
      <c r="H39" s="290">
        <f>+I14</f>
        <v>23111.214500000002</v>
      </c>
      <c r="I39" s="290">
        <f>+J14</f>
        <v>1096133.0740000003</v>
      </c>
      <c r="J39" s="290">
        <f>+K14</f>
        <v>1646507.844</v>
      </c>
      <c r="K39" s="290">
        <f>+L14</f>
        <v>567302.452</v>
      </c>
      <c r="L39" s="290">
        <f>+M14</f>
        <v>62210.40450000001</v>
      </c>
      <c r="M39" s="290">
        <f>+N14</f>
        <v>2152.965</v>
      </c>
      <c r="N39" s="290">
        <f>+O14</f>
        <v>807.0020000000001</v>
      </c>
      <c r="O39" s="290">
        <f>+P14</f>
        <v>6617.246</v>
      </c>
      <c r="P39" s="290">
        <f>+Q14</f>
        <v>868171.1826000001</v>
      </c>
      <c r="Q39" s="290">
        <f>+R14</f>
        <v>1034950.6100000006</v>
      </c>
      <c r="U39" s="426"/>
      <c r="V39" s="426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</row>
    <row r="40" spans="5:40" s="423" customFormat="1" ht="15.75"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U40" s="426"/>
      <c r="V40" s="426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</row>
    <row r="41" spans="5:40" s="423" customFormat="1" ht="15">
      <c r="E41" s="103"/>
      <c r="F41" s="103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U41" s="426"/>
      <c r="V41" s="426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</row>
    <row r="42" spans="5:40" s="87" customFormat="1" ht="15">
      <c r="E42" s="426"/>
      <c r="F42" s="426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U42" s="103"/>
      <c r="V42" s="103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192"/>
      <c r="AN42" s="192"/>
    </row>
    <row r="43" spans="5:40" s="87" customFormat="1" ht="15"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U43" s="103"/>
      <c r="V43" s="103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192"/>
      <c r="AN43" s="192"/>
    </row>
    <row r="44" spans="5:40" s="87" customFormat="1" ht="15">
      <c r="E44" s="243"/>
      <c r="F44" s="88"/>
      <c r="U44" s="103"/>
      <c r="V44" s="103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192"/>
      <c r="AN44" s="192"/>
    </row>
    <row r="45" spans="5:40" s="87" customFormat="1" ht="15">
      <c r="E45" s="243"/>
      <c r="F45" s="88"/>
      <c r="U45" s="103"/>
      <c r="V45" s="103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192"/>
      <c r="AN45" s="192"/>
    </row>
    <row r="46" spans="5:40" s="87" customFormat="1" ht="15">
      <c r="E46" s="243"/>
      <c r="F46" s="88"/>
      <c r="U46" s="103"/>
      <c r="V46" s="103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192"/>
      <c r="AN46" s="192"/>
    </row>
    <row r="47" spans="5:40" s="87" customFormat="1" ht="15">
      <c r="E47" s="243"/>
      <c r="F47" s="88"/>
      <c r="U47" s="103"/>
      <c r="V47" s="103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192"/>
      <c r="AN47" s="192"/>
    </row>
    <row r="48" spans="5:40" s="87" customFormat="1" ht="15">
      <c r="E48" s="243"/>
      <c r="F48" s="88"/>
      <c r="U48" s="103"/>
      <c r="V48" s="103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192"/>
      <c r="AN48" s="192"/>
    </row>
    <row r="49" spans="5:40" s="87" customFormat="1" ht="15">
      <c r="E49" s="243"/>
      <c r="F49" s="88"/>
      <c r="U49" s="103"/>
      <c r="V49" s="103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192"/>
      <c r="AN49" s="192"/>
    </row>
    <row r="50" spans="5:40" s="87" customFormat="1" ht="15">
      <c r="E50" s="243"/>
      <c r="F50" s="88"/>
      <c r="U50" s="103"/>
      <c r="V50" s="103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192"/>
      <c r="AN50" s="192"/>
    </row>
    <row r="51" spans="5:40" s="87" customFormat="1" ht="15">
      <c r="E51" s="243"/>
      <c r="F51" s="88"/>
      <c r="U51" s="103"/>
      <c r="V51" s="103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192"/>
      <c r="AN51" s="192"/>
    </row>
    <row r="52" spans="4:40" s="87" customFormat="1" ht="15">
      <c r="D52" s="39" t="s">
        <v>148</v>
      </c>
      <c r="E52" s="243"/>
      <c r="F52" s="88"/>
      <c r="U52" s="103"/>
      <c r="V52" s="103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192"/>
      <c r="AN52" s="192"/>
    </row>
    <row r="53" spans="21:40" s="87" customFormat="1" ht="15">
      <c r="U53" s="103"/>
      <c r="V53" s="103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192"/>
      <c r="AN53" s="192"/>
    </row>
    <row r="54" spans="6:40" s="87" customFormat="1" ht="15">
      <c r="F54" s="88"/>
      <c r="U54" s="103"/>
      <c r="V54" s="103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192"/>
      <c r="AN54" s="192"/>
    </row>
    <row r="55" spans="6:40" s="87" customFormat="1" ht="15">
      <c r="F55" s="88"/>
      <c r="U55" s="103"/>
      <c r="V55" s="103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192"/>
      <c r="AN55" s="192"/>
    </row>
    <row r="56" spans="6:40" s="87" customFormat="1" ht="15">
      <c r="F56" s="88"/>
      <c r="U56" s="103"/>
      <c r="V56" s="103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192"/>
      <c r="AN56" s="192"/>
    </row>
    <row r="57" spans="6:40" s="87" customFormat="1" ht="15">
      <c r="F57" s="88"/>
      <c r="U57" s="103"/>
      <c r="V57" s="103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192"/>
      <c r="AN57" s="192"/>
    </row>
    <row r="58" spans="6:40" s="87" customFormat="1" ht="15">
      <c r="F58" s="88"/>
      <c r="U58" s="103"/>
      <c r="V58" s="103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192"/>
      <c r="AN58" s="192"/>
    </row>
    <row r="59" spans="4:40" s="87" customFormat="1" ht="15">
      <c r="D59" s="39"/>
      <c r="F59" s="88"/>
      <c r="U59" s="103"/>
      <c r="V59" s="103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192"/>
      <c r="AN59" s="192"/>
    </row>
    <row r="60" spans="6:40" s="87" customFormat="1" ht="15">
      <c r="F60" s="88"/>
      <c r="U60" s="103"/>
      <c r="V60" s="103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192"/>
      <c r="AN60" s="192"/>
    </row>
    <row r="61" spans="6:40" s="87" customFormat="1" ht="15">
      <c r="F61" s="88"/>
      <c r="U61" s="103"/>
      <c r="V61" s="103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192"/>
      <c r="AN61" s="192"/>
    </row>
    <row r="62" spans="6:40" s="87" customFormat="1" ht="15">
      <c r="F62" s="88"/>
      <c r="U62" s="103"/>
      <c r="V62" s="103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192"/>
      <c r="AN62" s="192"/>
    </row>
    <row r="63" spans="6:40" s="87" customFormat="1" ht="15">
      <c r="F63" s="88"/>
      <c r="U63" s="103"/>
      <c r="V63" s="103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192"/>
      <c r="AN63" s="192"/>
    </row>
    <row r="64" spans="6:40" s="87" customFormat="1" ht="15">
      <c r="F64" s="88"/>
      <c r="U64" s="103"/>
      <c r="V64" s="103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192"/>
      <c r="AN64" s="192"/>
    </row>
    <row r="65" spans="6:40" s="87" customFormat="1" ht="15">
      <c r="F65" s="88"/>
      <c r="U65" s="103"/>
      <c r="V65" s="103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192"/>
      <c r="AN65" s="192"/>
    </row>
    <row r="66" spans="6:40" s="87" customFormat="1" ht="15">
      <c r="F66" s="88"/>
      <c r="U66" s="103"/>
      <c r="V66" s="103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192"/>
      <c r="AN66" s="192"/>
    </row>
    <row r="67" spans="6:40" s="87" customFormat="1" ht="15">
      <c r="F67" s="88"/>
      <c r="U67" s="103"/>
      <c r="V67" s="103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192"/>
      <c r="AN67" s="192"/>
    </row>
    <row r="68" spans="6:40" s="87" customFormat="1" ht="15">
      <c r="F68" s="88"/>
      <c r="U68" s="103"/>
      <c r="V68" s="103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192"/>
      <c r="AN68" s="192"/>
    </row>
    <row r="69" spans="6:40" s="102" customFormat="1" ht="15">
      <c r="F69" s="149"/>
      <c r="U69" s="103"/>
      <c r="V69" s="103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192"/>
      <c r="AN69" s="192"/>
    </row>
    <row r="70" spans="6:40" s="102" customFormat="1" ht="15">
      <c r="F70" s="149"/>
      <c r="U70" s="103"/>
      <c r="V70" s="103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192"/>
      <c r="AN70" s="192"/>
    </row>
    <row r="71" spans="6:40" s="102" customFormat="1" ht="15">
      <c r="F71" s="149"/>
      <c r="U71" s="103"/>
      <c r="V71" s="103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  <c r="AI71" s="238"/>
      <c r="AJ71" s="238"/>
      <c r="AK71" s="238"/>
      <c r="AL71" s="238"/>
      <c r="AM71" s="192"/>
      <c r="AN71" s="192"/>
    </row>
    <row r="72" spans="6:40" s="102" customFormat="1" ht="15">
      <c r="F72" s="149"/>
      <c r="U72" s="103"/>
      <c r="V72" s="103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38"/>
      <c r="AK72" s="238"/>
      <c r="AL72" s="238"/>
      <c r="AM72" s="192"/>
      <c r="AN72" s="192"/>
    </row>
    <row r="73" spans="6:40" s="102" customFormat="1" ht="15">
      <c r="F73" s="149"/>
      <c r="U73" s="103"/>
      <c r="V73" s="103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192"/>
      <c r="AN73" s="192"/>
    </row>
    <row r="74" spans="6:40" s="102" customFormat="1" ht="15">
      <c r="F74" s="149"/>
      <c r="U74" s="103"/>
      <c r="V74" s="103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192"/>
      <c r="AN74" s="192"/>
    </row>
    <row r="75" spans="6:40" s="102" customFormat="1" ht="15">
      <c r="F75" s="149"/>
      <c r="U75" s="103"/>
      <c r="V75" s="103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192"/>
      <c r="AN75" s="192"/>
    </row>
    <row r="76" spans="6:40" s="102" customFormat="1" ht="15">
      <c r="F76" s="149"/>
      <c r="U76" s="103"/>
      <c r="V76" s="103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192"/>
      <c r="AN76" s="192"/>
    </row>
    <row r="77" spans="6:40" s="102" customFormat="1" ht="15">
      <c r="F77" s="149"/>
      <c r="U77" s="103"/>
      <c r="V77" s="103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192"/>
      <c r="AN77" s="192"/>
    </row>
    <row r="78" spans="6:40" s="102" customFormat="1" ht="15">
      <c r="F78" s="149"/>
      <c r="U78" s="103"/>
      <c r="V78" s="103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  <c r="AM78" s="192"/>
      <c r="AN78" s="192"/>
    </row>
    <row r="79" spans="6:40" s="102" customFormat="1" ht="15">
      <c r="F79" s="149"/>
      <c r="U79" s="103"/>
      <c r="V79" s="103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192"/>
      <c r="AN79" s="192"/>
    </row>
    <row r="80" spans="6:40" s="102" customFormat="1" ht="15">
      <c r="F80" s="149"/>
      <c r="U80" s="103"/>
      <c r="V80" s="103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192"/>
      <c r="AN80" s="192"/>
    </row>
    <row r="81" spans="6:40" s="102" customFormat="1" ht="15">
      <c r="F81" s="149"/>
      <c r="U81" s="103"/>
      <c r="V81" s="103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192"/>
      <c r="AN81" s="192"/>
    </row>
    <row r="82" spans="6:40" s="102" customFormat="1" ht="15">
      <c r="F82" s="149"/>
      <c r="U82" s="103"/>
      <c r="V82" s="103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192"/>
      <c r="AN82" s="192"/>
    </row>
    <row r="83" spans="6:40" s="102" customFormat="1" ht="15">
      <c r="F83" s="149"/>
      <c r="U83" s="103"/>
      <c r="V83" s="103">
        <f>SUM(V84:V85)</f>
        <v>7299360.759101167</v>
      </c>
      <c r="W83" s="238"/>
      <c r="X83" s="238"/>
      <c r="Y83" s="238"/>
      <c r="Z83" s="238"/>
      <c r="AA83" s="238"/>
      <c r="AB83" s="238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192"/>
      <c r="AN83" s="192"/>
    </row>
    <row r="84" spans="6:40" s="102" customFormat="1" ht="15">
      <c r="F84" s="149"/>
      <c r="U84" s="103" t="s">
        <v>15</v>
      </c>
      <c r="V84" s="103">
        <f>F8</f>
        <v>1226034.4605011672</v>
      </c>
      <c r="W84" s="236">
        <f>V84/V83*100</f>
        <v>16.79646342965708</v>
      </c>
      <c r="X84" s="238"/>
      <c r="Y84" s="238"/>
      <c r="Z84" s="238"/>
      <c r="AA84" s="238"/>
      <c r="AB84" s="238"/>
      <c r="AC84" s="238"/>
      <c r="AD84" s="238"/>
      <c r="AE84" s="238"/>
      <c r="AF84" s="238"/>
      <c r="AG84" s="238"/>
      <c r="AH84" s="238"/>
      <c r="AI84" s="238"/>
      <c r="AJ84" s="238"/>
      <c r="AK84" s="238"/>
      <c r="AL84" s="238"/>
      <c r="AM84" s="192"/>
      <c r="AN84" s="192"/>
    </row>
    <row r="85" spans="6:40" s="102" customFormat="1" ht="15">
      <c r="F85" s="149"/>
      <c r="U85" s="103" t="s">
        <v>20</v>
      </c>
      <c r="V85" s="103">
        <f>F14</f>
        <v>6073326.2986</v>
      </c>
      <c r="W85" s="236">
        <f>V85/V83*100</f>
        <v>83.20353657034292</v>
      </c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192"/>
      <c r="AN85" s="192"/>
    </row>
    <row r="86" spans="6:40" s="102" customFormat="1" ht="15">
      <c r="F86" s="149"/>
      <c r="U86" s="103"/>
      <c r="V86" s="103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192"/>
      <c r="AN86" s="192"/>
    </row>
    <row r="87" spans="5:40" s="102" customFormat="1" ht="15">
      <c r="E87" s="102" t="s">
        <v>15</v>
      </c>
      <c r="F87" s="149">
        <f>F8</f>
        <v>1226034.4605011672</v>
      </c>
      <c r="G87" s="151"/>
      <c r="U87" s="103"/>
      <c r="V87" s="103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192"/>
      <c r="AN87" s="192"/>
    </row>
    <row r="88" spans="5:40" s="102" customFormat="1" ht="15">
      <c r="E88" s="102" t="s">
        <v>20</v>
      </c>
      <c r="F88" s="149">
        <f>F14</f>
        <v>6073326.2986</v>
      </c>
      <c r="U88" s="103"/>
      <c r="V88" s="103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192"/>
      <c r="AN88" s="192"/>
    </row>
    <row r="89" spans="5:40" s="102" customFormat="1" ht="15">
      <c r="E89" s="102" t="s">
        <v>16</v>
      </c>
      <c r="F89" s="149">
        <f>F9</f>
        <v>134516.36333999998</v>
      </c>
      <c r="G89" s="151"/>
      <c r="H89" s="151">
        <f>+F89/F87*100</f>
        <v>10.971662516322226</v>
      </c>
      <c r="U89" s="103"/>
      <c r="V89" s="103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192"/>
      <c r="AN89" s="192"/>
    </row>
    <row r="90" spans="5:40" s="102" customFormat="1" ht="15">
      <c r="E90" s="102" t="s">
        <v>17</v>
      </c>
      <c r="F90" s="149">
        <f>F10</f>
        <v>575715.5651272149</v>
      </c>
      <c r="G90" s="151"/>
      <c r="H90" s="151">
        <f>+F90/F87*100</f>
        <v>46.9575353446329</v>
      </c>
      <c r="U90" s="103"/>
      <c r="V90" s="103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192"/>
      <c r="AN90" s="192"/>
    </row>
    <row r="91" spans="5:40" s="102" customFormat="1" ht="15">
      <c r="E91" s="102" t="s">
        <v>61</v>
      </c>
      <c r="F91" s="149">
        <f>F11</f>
        <v>66219.6556</v>
      </c>
      <c r="G91" s="151"/>
      <c r="H91" s="151">
        <f>+F91/F87*100</f>
        <v>5.401125150506074</v>
      </c>
      <c r="U91" s="103"/>
      <c r="V91" s="103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192"/>
      <c r="AN91" s="192"/>
    </row>
    <row r="92" spans="5:40" s="102" customFormat="1" ht="15">
      <c r="E92" s="102" t="s">
        <v>18</v>
      </c>
      <c r="F92" s="149">
        <f>F12</f>
        <v>449582.87643395254</v>
      </c>
      <c r="G92" s="151"/>
      <c r="H92" s="151">
        <f>+F92/F87*100</f>
        <v>36.66967698853882</v>
      </c>
      <c r="I92" s="102" t="s">
        <v>138</v>
      </c>
      <c r="U92" s="103"/>
      <c r="V92" s="103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192"/>
      <c r="AN92" s="192"/>
    </row>
    <row r="93" spans="5:40" s="102" customFormat="1" ht="15">
      <c r="E93" s="102" t="s">
        <v>22</v>
      </c>
      <c r="F93" s="149">
        <f>F15</f>
        <v>6050046.399600001</v>
      </c>
      <c r="U93" s="103"/>
      <c r="V93" s="103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192"/>
      <c r="AN93" s="192"/>
    </row>
    <row r="94" spans="5:40" s="102" customFormat="1" ht="15">
      <c r="E94" s="102" t="s">
        <v>23</v>
      </c>
      <c r="F94" s="149">
        <f>F17</f>
        <v>438.4595</v>
      </c>
      <c r="U94" s="103"/>
      <c r="V94" s="103"/>
      <c r="W94" s="238"/>
      <c r="X94" s="238"/>
      <c r="Y94" s="238"/>
      <c r="Z94" s="238"/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192"/>
      <c r="AN94" s="192"/>
    </row>
    <row r="95" spans="6:40" s="102" customFormat="1" ht="15">
      <c r="F95" s="149"/>
      <c r="U95" s="103"/>
      <c r="V95" s="103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192"/>
      <c r="AN95" s="192"/>
    </row>
    <row r="96" spans="6:40" s="102" customFormat="1" ht="15">
      <c r="F96" s="149"/>
      <c r="U96" s="103"/>
      <c r="V96" s="103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192"/>
      <c r="AN96" s="192"/>
    </row>
    <row r="97" spans="6:40" s="102" customFormat="1" ht="15">
      <c r="F97" s="149"/>
      <c r="U97" s="103"/>
      <c r="V97" s="103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192"/>
      <c r="AN97" s="192"/>
    </row>
    <row r="98" spans="6:40" s="102" customFormat="1" ht="15">
      <c r="F98" s="149"/>
      <c r="U98" s="103"/>
      <c r="V98" s="103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192"/>
      <c r="AN98" s="192"/>
    </row>
    <row r="99" spans="6:40" s="102" customFormat="1" ht="15">
      <c r="F99" s="149"/>
      <c r="U99" s="103"/>
      <c r="V99" s="103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  <c r="AI99" s="238"/>
      <c r="AJ99" s="238"/>
      <c r="AK99" s="238"/>
      <c r="AL99" s="238"/>
      <c r="AM99" s="192"/>
      <c r="AN99" s="192"/>
    </row>
    <row r="100" spans="6:40" s="102" customFormat="1" ht="15">
      <c r="F100" s="149"/>
      <c r="U100" s="103"/>
      <c r="V100" s="103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  <c r="AI100" s="238"/>
      <c r="AJ100" s="238"/>
      <c r="AK100" s="238"/>
      <c r="AL100" s="238"/>
      <c r="AM100" s="192"/>
      <c r="AN100" s="192"/>
    </row>
    <row r="101" spans="6:40" s="102" customFormat="1" ht="15">
      <c r="F101" s="149"/>
      <c r="U101" s="103"/>
      <c r="V101" s="103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238"/>
      <c r="AK101" s="238"/>
      <c r="AL101" s="238"/>
      <c r="AM101" s="192"/>
      <c r="AN101" s="192"/>
    </row>
    <row r="102" spans="6:40" s="102" customFormat="1" ht="15">
      <c r="F102" s="149"/>
      <c r="U102" s="103"/>
      <c r="V102" s="103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  <c r="AI102" s="238"/>
      <c r="AJ102" s="238"/>
      <c r="AK102" s="238"/>
      <c r="AL102" s="238"/>
      <c r="AM102" s="192"/>
      <c r="AN102" s="192"/>
    </row>
    <row r="103" spans="6:40" s="102" customFormat="1" ht="15">
      <c r="F103" s="149"/>
      <c r="U103" s="103"/>
      <c r="V103" s="103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238"/>
      <c r="AM103" s="192"/>
      <c r="AN103" s="192"/>
    </row>
    <row r="104" spans="6:40" s="102" customFormat="1" ht="15">
      <c r="F104" s="149"/>
      <c r="U104" s="103"/>
      <c r="V104" s="103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  <c r="AI104" s="238"/>
      <c r="AJ104" s="238"/>
      <c r="AK104" s="238"/>
      <c r="AL104" s="238"/>
      <c r="AM104" s="192"/>
      <c r="AN104" s="192"/>
    </row>
    <row r="105" spans="6:40" s="102" customFormat="1" ht="15">
      <c r="F105" s="149"/>
      <c r="U105" s="103"/>
      <c r="V105" s="103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192"/>
      <c r="AN105" s="192"/>
    </row>
    <row r="106" spans="6:40" s="102" customFormat="1" ht="15">
      <c r="F106" s="149"/>
      <c r="U106" s="103"/>
      <c r="V106" s="103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192"/>
      <c r="AN106" s="192"/>
    </row>
    <row r="107" spans="6:40" s="102" customFormat="1" ht="15">
      <c r="F107" s="149"/>
      <c r="U107" s="103"/>
      <c r="V107" s="103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192"/>
      <c r="AN107" s="192"/>
    </row>
    <row r="108" spans="6:40" s="102" customFormat="1" ht="15">
      <c r="F108" s="149"/>
      <c r="U108" s="103"/>
      <c r="V108" s="103"/>
      <c r="W108" s="238"/>
      <c r="X108" s="238"/>
      <c r="Y108" s="238"/>
      <c r="Z108" s="238"/>
      <c r="AA108" s="238"/>
      <c r="AB108" s="238"/>
      <c r="AC108" s="238"/>
      <c r="AD108" s="238"/>
      <c r="AE108" s="238"/>
      <c r="AF108" s="238"/>
      <c r="AG108" s="238"/>
      <c r="AH108" s="238"/>
      <c r="AI108" s="238"/>
      <c r="AJ108" s="238"/>
      <c r="AK108" s="238"/>
      <c r="AL108" s="238"/>
      <c r="AM108" s="192"/>
      <c r="AN108" s="192"/>
    </row>
    <row r="109" spans="6:40" s="102" customFormat="1" ht="15">
      <c r="F109" s="149"/>
      <c r="U109" s="103"/>
      <c r="V109" s="103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192"/>
      <c r="AN109" s="192"/>
    </row>
    <row r="110" spans="6:40" s="102" customFormat="1" ht="15">
      <c r="F110" s="149"/>
      <c r="U110" s="103"/>
      <c r="V110" s="103">
        <f>SUM(V111:V114)</f>
        <v>1226034.4605011672</v>
      </c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192"/>
      <c r="AN110" s="192"/>
    </row>
    <row r="111" spans="6:40" s="102" customFormat="1" ht="15">
      <c r="F111" s="149"/>
      <c r="U111" s="103" t="s">
        <v>16</v>
      </c>
      <c r="V111" s="103">
        <f>F9</f>
        <v>134516.36333999998</v>
      </c>
      <c r="W111" s="241">
        <f>V111/$V$110*100</f>
        <v>10.971662516322226</v>
      </c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192"/>
      <c r="AN111" s="192"/>
    </row>
    <row r="112" spans="6:40" s="102" customFormat="1" ht="15">
      <c r="F112" s="149"/>
      <c r="U112" s="103" t="s">
        <v>17</v>
      </c>
      <c r="V112" s="103">
        <f>F10</f>
        <v>575715.5651272149</v>
      </c>
      <c r="W112" s="241">
        <f>V112/$V$110*100</f>
        <v>46.9575353446329</v>
      </c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192"/>
      <c r="AN112" s="192"/>
    </row>
    <row r="113" spans="6:40" s="102" customFormat="1" ht="15">
      <c r="F113" s="149"/>
      <c r="U113" s="103" t="s">
        <v>61</v>
      </c>
      <c r="V113" s="103">
        <f>F11</f>
        <v>66219.6556</v>
      </c>
      <c r="W113" s="241">
        <f>V113/$V$110*100</f>
        <v>5.401125150506074</v>
      </c>
      <c r="X113" s="242">
        <f>15.94+51.57+3.5+28.99</f>
        <v>100</v>
      </c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192"/>
      <c r="AN113" s="192"/>
    </row>
    <row r="114" spans="6:40" s="102" customFormat="1" ht="15">
      <c r="F114" s="149"/>
      <c r="U114" s="103" t="s">
        <v>18</v>
      </c>
      <c r="V114" s="103">
        <f>F12</f>
        <v>449582.87643395254</v>
      </c>
      <c r="W114" s="241">
        <f>V114/$V$110*100</f>
        <v>36.66967698853882</v>
      </c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  <c r="AI114" s="238"/>
      <c r="AJ114" s="238"/>
      <c r="AK114" s="238"/>
      <c r="AL114" s="238"/>
      <c r="AM114" s="192"/>
      <c r="AN114" s="192"/>
    </row>
    <row r="115" spans="6:40" s="102" customFormat="1" ht="15">
      <c r="F115" s="149"/>
      <c r="U115" s="103"/>
      <c r="V115" s="103"/>
      <c r="W115" s="238"/>
      <c r="X115" s="238"/>
      <c r="Y115" s="238"/>
      <c r="Z115" s="238"/>
      <c r="AA115" s="238"/>
      <c r="AB115" s="238"/>
      <c r="AC115" s="238"/>
      <c r="AD115" s="238"/>
      <c r="AE115" s="238"/>
      <c r="AF115" s="238"/>
      <c r="AG115" s="238"/>
      <c r="AH115" s="238"/>
      <c r="AI115" s="238"/>
      <c r="AJ115" s="238"/>
      <c r="AK115" s="238"/>
      <c r="AL115" s="238"/>
      <c r="AM115" s="192"/>
      <c r="AN115" s="192"/>
    </row>
    <row r="116" spans="6:40" s="102" customFormat="1" ht="15">
      <c r="F116" s="149"/>
      <c r="U116" s="103"/>
      <c r="V116" s="103"/>
      <c r="W116" s="238"/>
      <c r="X116" s="238"/>
      <c r="Y116" s="238"/>
      <c r="Z116" s="238"/>
      <c r="AA116" s="238"/>
      <c r="AB116" s="238"/>
      <c r="AC116" s="238"/>
      <c r="AD116" s="238"/>
      <c r="AE116" s="238"/>
      <c r="AF116" s="238"/>
      <c r="AG116" s="238"/>
      <c r="AH116" s="238"/>
      <c r="AI116" s="238"/>
      <c r="AJ116" s="238"/>
      <c r="AK116" s="238"/>
      <c r="AL116" s="238"/>
      <c r="AM116" s="192"/>
      <c r="AN116" s="192"/>
    </row>
    <row r="117" spans="6:40" s="102" customFormat="1" ht="15">
      <c r="F117" s="149"/>
      <c r="U117" s="103"/>
      <c r="V117" s="103"/>
      <c r="W117" s="238"/>
      <c r="X117" s="238"/>
      <c r="Y117" s="238"/>
      <c r="Z117" s="238"/>
      <c r="AA117" s="238"/>
      <c r="AB117" s="238"/>
      <c r="AC117" s="238"/>
      <c r="AD117" s="238"/>
      <c r="AE117" s="238"/>
      <c r="AF117" s="238"/>
      <c r="AG117" s="238"/>
      <c r="AH117" s="238"/>
      <c r="AI117" s="238"/>
      <c r="AJ117" s="238"/>
      <c r="AK117" s="238"/>
      <c r="AL117" s="238"/>
      <c r="AM117" s="192"/>
      <c r="AN117" s="192"/>
    </row>
    <row r="118" spans="6:40" s="102" customFormat="1" ht="15">
      <c r="F118" s="149"/>
      <c r="U118" s="103"/>
      <c r="V118" s="103"/>
      <c r="W118" s="238"/>
      <c r="X118" s="238"/>
      <c r="Y118" s="238"/>
      <c r="Z118" s="238"/>
      <c r="AA118" s="238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192"/>
      <c r="AN118" s="192"/>
    </row>
    <row r="119" spans="6:40" s="102" customFormat="1" ht="15">
      <c r="F119" s="149"/>
      <c r="U119" s="103"/>
      <c r="V119" s="103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192"/>
      <c r="AN119" s="192"/>
    </row>
    <row r="120" spans="6:40" s="102" customFormat="1" ht="15">
      <c r="F120" s="149"/>
      <c r="U120" s="103"/>
      <c r="V120" s="103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192"/>
      <c r="AN120" s="192"/>
    </row>
    <row r="121" spans="6:40" s="102" customFormat="1" ht="15">
      <c r="F121" s="149"/>
      <c r="U121" s="103"/>
      <c r="V121" s="103"/>
      <c r="W121" s="238"/>
      <c r="X121" s="238"/>
      <c r="Y121" s="238"/>
      <c r="Z121" s="238"/>
      <c r="AA121" s="238"/>
      <c r="AB121" s="238"/>
      <c r="AC121" s="238"/>
      <c r="AD121" s="238"/>
      <c r="AE121" s="238"/>
      <c r="AF121" s="238"/>
      <c r="AG121" s="238"/>
      <c r="AH121" s="238"/>
      <c r="AI121" s="238"/>
      <c r="AJ121" s="238"/>
      <c r="AK121" s="238"/>
      <c r="AL121" s="238"/>
      <c r="AM121" s="192"/>
      <c r="AN121" s="192"/>
    </row>
    <row r="122" spans="6:40" s="102" customFormat="1" ht="15">
      <c r="F122" s="149"/>
      <c r="U122" s="103"/>
      <c r="V122" s="103"/>
      <c r="W122" s="238"/>
      <c r="X122" s="238"/>
      <c r="Y122" s="238"/>
      <c r="Z122" s="238"/>
      <c r="AA122" s="238"/>
      <c r="AB122" s="238"/>
      <c r="AC122" s="238"/>
      <c r="AD122" s="238"/>
      <c r="AE122" s="238"/>
      <c r="AF122" s="238"/>
      <c r="AG122" s="238"/>
      <c r="AH122" s="238"/>
      <c r="AI122" s="238"/>
      <c r="AJ122" s="238"/>
      <c r="AK122" s="238"/>
      <c r="AL122" s="238"/>
      <c r="AM122" s="192"/>
      <c r="AN122" s="192"/>
    </row>
    <row r="123" spans="6:40" s="102" customFormat="1" ht="15">
      <c r="F123" s="149"/>
      <c r="U123" s="103"/>
      <c r="V123" s="103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192"/>
      <c r="AN123" s="192"/>
    </row>
    <row r="124" spans="6:40" s="102" customFormat="1" ht="15">
      <c r="F124" s="149"/>
      <c r="U124" s="103"/>
      <c r="V124" s="103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38"/>
      <c r="AK124" s="238"/>
      <c r="AL124" s="238"/>
      <c r="AM124" s="192"/>
      <c r="AN124" s="192"/>
    </row>
    <row r="125" spans="6:40" s="102" customFormat="1" ht="15">
      <c r="F125" s="149"/>
      <c r="U125" s="103"/>
      <c r="V125" s="103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8"/>
      <c r="AK125" s="238"/>
      <c r="AL125" s="238"/>
      <c r="AM125" s="192"/>
      <c r="AN125" s="192"/>
    </row>
    <row r="126" spans="6:40" s="102" customFormat="1" ht="15">
      <c r="F126" s="149"/>
      <c r="U126" s="103"/>
      <c r="V126" s="103"/>
      <c r="W126" s="238"/>
      <c r="X126" s="238"/>
      <c r="Y126" s="238"/>
      <c r="Z126" s="238"/>
      <c r="AA126" s="238"/>
      <c r="AB126" s="238"/>
      <c r="AC126" s="238"/>
      <c r="AD126" s="238"/>
      <c r="AE126" s="238"/>
      <c r="AF126" s="238"/>
      <c r="AG126" s="238"/>
      <c r="AH126" s="238"/>
      <c r="AI126" s="238"/>
      <c r="AJ126" s="238"/>
      <c r="AK126" s="238"/>
      <c r="AL126" s="238"/>
      <c r="AM126" s="192"/>
      <c r="AN126" s="192"/>
    </row>
    <row r="127" spans="6:40" s="102" customFormat="1" ht="15">
      <c r="F127" s="149"/>
      <c r="U127" s="103"/>
      <c r="V127" s="103"/>
      <c r="W127" s="238"/>
      <c r="X127" s="238"/>
      <c r="Y127" s="238"/>
      <c r="Z127" s="238"/>
      <c r="AA127" s="238"/>
      <c r="AB127" s="238"/>
      <c r="AC127" s="238"/>
      <c r="AD127" s="238"/>
      <c r="AE127" s="238"/>
      <c r="AF127" s="238"/>
      <c r="AG127" s="238"/>
      <c r="AH127" s="238"/>
      <c r="AI127" s="238"/>
      <c r="AJ127" s="238"/>
      <c r="AK127" s="238"/>
      <c r="AL127" s="238"/>
      <c r="AM127" s="192"/>
      <c r="AN127" s="192"/>
    </row>
    <row r="128" spans="6:40" s="102" customFormat="1" ht="15">
      <c r="F128" s="149"/>
      <c r="U128" s="103"/>
      <c r="V128" s="103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38"/>
      <c r="AK128" s="238"/>
      <c r="AL128" s="238"/>
      <c r="AM128" s="192"/>
      <c r="AN128" s="192"/>
    </row>
    <row r="129" spans="6:40" s="102" customFormat="1" ht="15">
      <c r="F129" s="149"/>
      <c r="U129" s="103"/>
      <c r="V129" s="103"/>
      <c r="W129" s="238"/>
      <c r="X129" s="238"/>
      <c r="Y129" s="238"/>
      <c r="Z129" s="238"/>
      <c r="AA129" s="238"/>
      <c r="AB129" s="238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192"/>
      <c r="AN129" s="192"/>
    </row>
    <row r="130" spans="6:40" s="102" customFormat="1" ht="15">
      <c r="F130" s="149"/>
      <c r="U130" s="103"/>
      <c r="V130" s="103"/>
      <c r="W130" s="238"/>
      <c r="X130" s="238"/>
      <c r="Y130" s="238"/>
      <c r="Z130" s="238"/>
      <c r="AA130" s="238"/>
      <c r="AB130" s="238"/>
      <c r="AC130" s="238"/>
      <c r="AD130" s="238"/>
      <c r="AE130" s="238"/>
      <c r="AF130" s="238"/>
      <c r="AG130" s="238"/>
      <c r="AH130" s="238"/>
      <c r="AI130" s="238"/>
      <c r="AJ130" s="238"/>
      <c r="AK130" s="238"/>
      <c r="AL130" s="238"/>
      <c r="AM130" s="192"/>
      <c r="AN130" s="192"/>
    </row>
    <row r="131" spans="6:40" s="102" customFormat="1" ht="15">
      <c r="F131" s="149"/>
      <c r="U131" s="103"/>
      <c r="V131" s="103"/>
      <c r="W131" s="238"/>
      <c r="X131" s="238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192"/>
      <c r="AN131" s="192"/>
    </row>
    <row r="132" spans="6:40" s="102" customFormat="1" ht="15">
      <c r="F132" s="149"/>
      <c r="U132" s="103"/>
      <c r="V132" s="103"/>
      <c r="W132" s="238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192"/>
      <c r="AN132" s="192"/>
    </row>
    <row r="133" spans="6:40" s="102" customFormat="1" ht="15">
      <c r="F133" s="149"/>
      <c r="U133" s="103"/>
      <c r="V133" s="103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192"/>
      <c r="AN133" s="192"/>
    </row>
    <row r="134" spans="6:40" s="102" customFormat="1" ht="15">
      <c r="F134" s="149"/>
      <c r="U134" s="103"/>
      <c r="V134" s="103"/>
      <c r="W134" s="238"/>
      <c r="X134" s="238"/>
      <c r="Y134" s="238"/>
      <c r="Z134" s="238"/>
      <c r="AA134" s="238"/>
      <c r="AB134" s="238"/>
      <c r="AC134" s="238"/>
      <c r="AD134" s="238"/>
      <c r="AE134" s="238"/>
      <c r="AF134" s="238"/>
      <c r="AG134" s="238"/>
      <c r="AH134" s="238"/>
      <c r="AI134" s="238"/>
      <c r="AJ134" s="238"/>
      <c r="AK134" s="238"/>
      <c r="AL134" s="238"/>
      <c r="AM134" s="192"/>
      <c r="AN134" s="192"/>
    </row>
    <row r="135" spans="6:40" s="102" customFormat="1" ht="15">
      <c r="F135" s="149"/>
      <c r="U135" s="103"/>
      <c r="V135" s="103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192"/>
      <c r="AN135" s="192"/>
    </row>
    <row r="136" spans="6:40" s="102" customFormat="1" ht="15">
      <c r="F136" s="149"/>
      <c r="U136" s="103"/>
      <c r="V136" s="103">
        <f>SUM(V137:V138)</f>
        <v>6050484.859100001</v>
      </c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192"/>
      <c r="AN136" s="192"/>
    </row>
    <row r="137" spans="6:40" s="102" customFormat="1" ht="15">
      <c r="F137" s="149"/>
      <c r="U137" s="103" t="s">
        <v>22</v>
      </c>
      <c r="V137" s="103">
        <f>F15</f>
        <v>6050046.399600001</v>
      </c>
      <c r="W137" s="241">
        <f>V137/$V$136*100</f>
        <v>99.99275331630092</v>
      </c>
      <c r="X137" s="238"/>
      <c r="Y137" s="238"/>
      <c r="Z137" s="238"/>
      <c r="AA137" s="238"/>
      <c r="AB137" s="238"/>
      <c r="AC137" s="238"/>
      <c r="AD137" s="238"/>
      <c r="AE137" s="238"/>
      <c r="AF137" s="238"/>
      <c r="AG137" s="238"/>
      <c r="AH137" s="238"/>
      <c r="AI137" s="238"/>
      <c r="AJ137" s="238"/>
      <c r="AK137" s="238"/>
      <c r="AL137" s="238"/>
      <c r="AM137" s="192"/>
      <c r="AN137" s="192"/>
    </row>
    <row r="138" spans="6:40" s="102" customFormat="1" ht="15">
      <c r="F138" s="149"/>
      <c r="U138" s="103" t="s">
        <v>23</v>
      </c>
      <c r="V138" s="103">
        <f>F17</f>
        <v>438.4595</v>
      </c>
      <c r="W138" s="241">
        <f>V138/$V$136*100</f>
        <v>0.007246683699084905</v>
      </c>
      <c r="X138" s="238"/>
      <c r="Y138" s="238"/>
      <c r="Z138" s="238"/>
      <c r="AA138" s="238"/>
      <c r="AB138" s="238"/>
      <c r="AC138" s="238"/>
      <c r="AD138" s="238"/>
      <c r="AE138" s="238"/>
      <c r="AF138" s="238"/>
      <c r="AG138" s="238"/>
      <c r="AH138" s="238"/>
      <c r="AI138" s="238"/>
      <c r="AJ138" s="238"/>
      <c r="AK138" s="238"/>
      <c r="AL138" s="238"/>
      <c r="AM138" s="192"/>
      <c r="AN138" s="192"/>
    </row>
    <row r="139" spans="6:40" s="102" customFormat="1" ht="15">
      <c r="F139" s="149"/>
      <c r="U139" s="103"/>
      <c r="V139" s="103"/>
      <c r="W139" s="232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192"/>
      <c r="AN139" s="192"/>
    </row>
    <row r="140" spans="6:40" s="102" customFormat="1" ht="15">
      <c r="F140" s="149"/>
      <c r="U140" s="103"/>
      <c r="V140" s="103"/>
      <c r="W140" s="236">
        <f>99.89+0.11</f>
        <v>100</v>
      </c>
      <c r="X140" s="238"/>
      <c r="Y140" s="238"/>
      <c r="Z140" s="238"/>
      <c r="AA140" s="238"/>
      <c r="AB140" s="238"/>
      <c r="AC140" s="238"/>
      <c r="AD140" s="238"/>
      <c r="AE140" s="238"/>
      <c r="AF140" s="238"/>
      <c r="AG140" s="238"/>
      <c r="AH140" s="238"/>
      <c r="AI140" s="238"/>
      <c r="AJ140" s="238"/>
      <c r="AK140" s="238"/>
      <c r="AL140" s="238"/>
      <c r="AM140" s="192"/>
      <c r="AN140" s="192"/>
    </row>
    <row r="141" spans="6:40" s="102" customFormat="1" ht="15">
      <c r="F141" s="149"/>
      <c r="U141" s="103"/>
      <c r="V141" s="103"/>
      <c r="W141" s="238"/>
      <c r="X141" s="238"/>
      <c r="Y141" s="238"/>
      <c r="Z141" s="238"/>
      <c r="AA141" s="238"/>
      <c r="AB141" s="238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192"/>
      <c r="AN141" s="192"/>
    </row>
    <row r="142" spans="6:40" s="102" customFormat="1" ht="15">
      <c r="F142" s="149"/>
      <c r="U142" s="103"/>
      <c r="V142" s="103"/>
      <c r="W142" s="238"/>
      <c r="X142" s="238"/>
      <c r="Y142" s="238"/>
      <c r="Z142" s="238"/>
      <c r="AA142" s="238"/>
      <c r="AB142" s="238"/>
      <c r="AC142" s="238"/>
      <c r="AD142" s="238"/>
      <c r="AE142" s="238"/>
      <c r="AF142" s="238"/>
      <c r="AG142" s="238"/>
      <c r="AH142" s="238"/>
      <c r="AI142" s="238"/>
      <c r="AJ142" s="238"/>
      <c r="AK142" s="238"/>
      <c r="AL142" s="238"/>
      <c r="AM142" s="192"/>
      <c r="AN142" s="192"/>
    </row>
    <row r="143" spans="6:40" s="102" customFormat="1" ht="15">
      <c r="F143" s="149"/>
      <c r="U143" s="103"/>
      <c r="V143" s="103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192"/>
      <c r="AN143" s="192"/>
    </row>
  </sheetData>
  <sheetProtection/>
  <mergeCells count="4">
    <mergeCell ref="B6:E6"/>
    <mergeCell ref="B1:S1"/>
    <mergeCell ref="B2:S2"/>
    <mergeCell ref="B4:E4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L63"/>
  <sheetViews>
    <sheetView showGridLines="0" zoomScale="85" zoomScaleNormal="85" zoomScalePageLayoutView="0" workbookViewId="0" topLeftCell="A1">
      <selection activeCell="T57" sqref="T57"/>
    </sheetView>
  </sheetViews>
  <sheetFormatPr defaultColWidth="9.140625" defaultRowHeight="12.75"/>
  <cols>
    <col min="1" max="1" width="6.28125" style="0" customWidth="1"/>
    <col min="2" max="2" width="1.1484375" style="0" customWidth="1"/>
    <col min="3" max="3" width="24.00390625" style="0" customWidth="1"/>
    <col min="4" max="15" width="8.7109375" style="0" customWidth="1"/>
    <col min="16" max="16" width="8.00390625" style="0" customWidth="1"/>
    <col min="17" max="17" width="0.85546875" style="0" customWidth="1"/>
    <col min="18" max="18" width="11.7109375" style="176" customWidth="1"/>
    <col min="19" max="27" width="11.421875" style="176" customWidth="1"/>
    <col min="28" max="28" width="9.140625" style="176" customWidth="1"/>
  </cols>
  <sheetData>
    <row r="3" spans="2:17" ht="16.5">
      <c r="B3" s="505" t="s">
        <v>296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</row>
    <row r="4" spans="2:17" ht="16.5">
      <c r="B4" s="505" t="s">
        <v>145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</row>
    <row r="5" spans="2:1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.75">
      <c r="B6" s="506" t="s">
        <v>134</v>
      </c>
      <c r="C6" s="507"/>
      <c r="D6" s="154" t="s">
        <v>1</v>
      </c>
      <c r="E6" s="154" t="s">
        <v>24</v>
      </c>
      <c r="F6" s="154" t="s">
        <v>49</v>
      </c>
      <c r="G6" s="154" t="s">
        <v>50</v>
      </c>
      <c r="H6" s="154" t="s">
        <v>51</v>
      </c>
      <c r="I6" s="154" t="s">
        <v>52</v>
      </c>
      <c r="J6" s="154" t="s">
        <v>53</v>
      </c>
      <c r="K6" s="154" t="s">
        <v>54</v>
      </c>
      <c r="L6" s="154" t="s">
        <v>55</v>
      </c>
      <c r="M6" s="154" t="s">
        <v>56</v>
      </c>
      <c r="N6" s="154" t="s">
        <v>57</v>
      </c>
      <c r="O6" s="154" t="s">
        <v>58</v>
      </c>
      <c r="P6" s="506" t="s">
        <v>59</v>
      </c>
      <c r="Q6" s="508"/>
    </row>
    <row r="7" spans="2:17" ht="15.75">
      <c r="B7" s="65"/>
      <c r="C7" s="66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67"/>
    </row>
    <row r="8" spans="2:17" ht="15.75">
      <c r="B8" s="509" t="s">
        <v>1</v>
      </c>
      <c r="C8" s="510"/>
      <c r="D8" s="155">
        <f>SUM(D10:D14)</f>
        <v>19272.580699999995</v>
      </c>
      <c r="E8" s="155">
        <f aca="true" t="shared" si="0" ref="E8:P8">SUM(E10:E14)</f>
        <v>1873.1400000000003</v>
      </c>
      <c r="F8" s="155">
        <f t="shared" si="0"/>
        <v>1831.7359999999996</v>
      </c>
      <c r="G8" s="155">
        <f t="shared" si="0"/>
        <v>1057.491</v>
      </c>
      <c r="H8" s="155">
        <f t="shared" si="0"/>
        <v>1164.9846</v>
      </c>
      <c r="I8" s="155">
        <f t="shared" si="0"/>
        <v>1471.9215</v>
      </c>
      <c r="J8" s="155">
        <f t="shared" si="0"/>
        <v>1368.721</v>
      </c>
      <c r="K8" s="155">
        <f t="shared" si="0"/>
        <v>1657.1296000000002</v>
      </c>
      <c r="L8" s="155">
        <f t="shared" si="0"/>
        <v>1953.926</v>
      </c>
      <c r="M8" s="155">
        <f t="shared" si="0"/>
        <v>1506.88</v>
      </c>
      <c r="N8" s="155">
        <f t="shared" si="0"/>
        <v>1921.6329999999998</v>
      </c>
      <c r="O8" s="155">
        <f t="shared" si="0"/>
        <v>2175.433</v>
      </c>
      <c r="P8" s="155">
        <f t="shared" si="0"/>
        <v>1289.585</v>
      </c>
      <c r="Q8" s="156"/>
    </row>
    <row r="9" spans="2:17" ht="15">
      <c r="B9" s="211"/>
      <c r="C9" s="96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212"/>
    </row>
    <row r="10" spans="2:20" ht="15">
      <c r="B10" s="211"/>
      <c r="C10" s="96" t="s">
        <v>27</v>
      </c>
      <c r="D10" s="80">
        <f>SUM(E10:P10)</f>
        <v>3552.976</v>
      </c>
      <c r="E10" s="80" t="s">
        <v>21</v>
      </c>
      <c r="F10" s="80" t="s">
        <v>21</v>
      </c>
      <c r="G10" s="80">
        <v>7.54</v>
      </c>
      <c r="H10" s="80" t="s">
        <v>21</v>
      </c>
      <c r="I10" s="80">
        <v>160.37</v>
      </c>
      <c r="J10" s="80">
        <v>268.575</v>
      </c>
      <c r="K10" s="80">
        <v>397.018</v>
      </c>
      <c r="L10" s="80">
        <v>708.712</v>
      </c>
      <c r="M10" s="80">
        <v>422.341</v>
      </c>
      <c r="N10" s="80">
        <v>537.66</v>
      </c>
      <c r="O10" s="80">
        <v>654.24</v>
      </c>
      <c r="P10" s="80">
        <v>396.52</v>
      </c>
      <c r="Q10" s="212"/>
      <c r="S10" s="176" t="s">
        <v>32</v>
      </c>
      <c r="T10" s="249">
        <v>11940.48</v>
      </c>
    </row>
    <row r="11" spans="2:20" ht="15">
      <c r="B11" s="211"/>
      <c r="C11" s="96" t="s">
        <v>26</v>
      </c>
      <c r="D11" s="80">
        <f>SUM(E11:P11)</f>
        <v>3785.8689999999992</v>
      </c>
      <c r="E11" s="80">
        <v>107.988</v>
      </c>
      <c r="F11" s="80">
        <v>861.9</v>
      </c>
      <c r="G11" s="80">
        <v>159.79</v>
      </c>
      <c r="H11" s="80">
        <v>263.03</v>
      </c>
      <c r="I11" s="80">
        <v>427.46</v>
      </c>
      <c r="J11" s="80">
        <v>270.57</v>
      </c>
      <c r="K11" s="80">
        <v>472.903</v>
      </c>
      <c r="L11" s="80">
        <v>337.183</v>
      </c>
      <c r="M11" s="80">
        <v>120.35</v>
      </c>
      <c r="N11" s="80">
        <v>327.689</v>
      </c>
      <c r="O11" s="80">
        <v>288.82599999999996</v>
      </c>
      <c r="P11" s="80">
        <v>148.18</v>
      </c>
      <c r="Q11" s="212"/>
      <c r="S11" s="176" t="s">
        <v>43</v>
      </c>
      <c r="T11" s="249">
        <v>1080.72</v>
      </c>
    </row>
    <row r="12" spans="2:20" ht="15">
      <c r="B12" s="211"/>
      <c r="C12" s="96" t="s">
        <v>32</v>
      </c>
      <c r="D12" s="80">
        <f>SUM(E12:P12)</f>
        <v>5918.235</v>
      </c>
      <c r="E12" s="80">
        <v>1244.7720000000002</v>
      </c>
      <c r="F12" s="80">
        <v>585.5699999999999</v>
      </c>
      <c r="G12" s="80">
        <v>559.126</v>
      </c>
      <c r="H12" s="80">
        <v>473.64</v>
      </c>
      <c r="I12" s="80">
        <v>443.26599999999996</v>
      </c>
      <c r="J12" s="80">
        <v>423.69500000000005</v>
      </c>
      <c r="K12" s="80">
        <v>177.9</v>
      </c>
      <c r="L12" s="80">
        <v>195.79</v>
      </c>
      <c r="M12" s="80">
        <v>343.37</v>
      </c>
      <c r="N12" s="80">
        <v>460.482</v>
      </c>
      <c r="O12" s="80">
        <v>677.799</v>
      </c>
      <c r="P12" s="80">
        <v>332.82500000000005</v>
      </c>
      <c r="Q12" s="212"/>
      <c r="T12" s="249"/>
    </row>
    <row r="13" spans="2:20" ht="15">
      <c r="B13" s="211"/>
      <c r="C13" s="96" t="s">
        <v>43</v>
      </c>
      <c r="D13" s="80">
        <f>SUM(E13:P13)</f>
        <v>4973.450699999999</v>
      </c>
      <c r="E13" s="80">
        <v>449</v>
      </c>
      <c r="F13" s="80">
        <v>296.84</v>
      </c>
      <c r="G13" s="80">
        <v>258.35200000000003</v>
      </c>
      <c r="H13" s="80">
        <v>360.2686</v>
      </c>
      <c r="I13" s="80">
        <v>361.39649999999995</v>
      </c>
      <c r="J13" s="80">
        <v>334.07099999999997</v>
      </c>
      <c r="K13" s="80">
        <v>522.2306</v>
      </c>
      <c r="L13" s="80">
        <v>601.35</v>
      </c>
      <c r="M13" s="80">
        <v>537.7620000000001</v>
      </c>
      <c r="N13" s="80">
        <v>493.84000000000003</v>
      </c>
      <c r="O13" s="80">
        <v>438.65999999999997</v>
      </c>
      <c r="P13" s="80">
        <v>319.68</v>
      </c>
      <c r="Q13" s="212"/>
      <c r="S13" s="176" t="s">
        <v>277</v>
      </c>
      <c r="T13" s="249">
        <v>1210.0199999999998</v>
      </c>
    </row>
    <row r="14" spans="2:20" ht="15">
      <c r="B14" s="211"/>
      <c r="C14" s="96" t="s">
        <v>277</v>
      </c>
      <c r="D14" s="80">
        <f>SUM(E14:P14)</f>
        <v>1042.05</v>
      </c>
      <c r="E14" s="80">
        <v>71.38</v>
      </c>
      <c r="F14" s="80">
        <v>87.426</v>
      </c>
      <c r="G14" s="80">
        <v>72.683</v>
      </c>
      <c r="H14" s="80">
        <v>68.046</v>
      </c>
      <c r="I14" s="80">
        <v>79.429</v>
      </c>
      <c r="J14" s="80">
        <v>71.81</v>
      </c>
      <c r="K14" s="80">
        <v>87.078</v>
      </c>
      <c r="L14" s="82">
        <v>110.891</v>
      </c>
      <c r="M14" s="80">
        <v>83.057</v>
      </c>
      <c r="N14" s="82">
        <v>101.962</v>
      </c>
      <c r="O14" s="82">
        <v>115.908</v>
      </c>
      <c r="P14" s="82">
        <v>92.38</v>
      </c>
      <c r="Q14" s="212"/>
      <c r="S14" s="176" t="s">
        <v>126</v>
      </c>
      <c r="T14" s="251">
        <v>61.16</v>
      </c>
    </row>
    <row r="15" spans="2:17" ht="5.25" customHeight="1">
      <c r="B15" s="213"/>
      <c r="C15" s="214"/>
      <c r="D15" s="56"/>
      <c r="E15" s="57"/>
      <c r="F15" s="57"/>
      <c r="G15" s="57"/>
      <c r="H15" s="57"/>
      <c r="I15" s="57"/>
      <c r="J15" s="57"/>
      <c r="K15" s="57"/>
      <c r="L15" s="56"/>
      <c r="M15" s="57"/>
      <c r="N15" s="56"/>
      <c r="O15" s="56"/>
      <c r="P15" s="56"/>
      <c r="Q15" s="215"/>
    </row>
    <row r="16" spans="2:17" ht="12.75">
      <c r="B16" s="42" t="s">
        <v>147</v>
      </c>
      <c r="C16" s="9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2"/>
    </row>
    <row r="18" ht="12.75">
      <c r="S18" s="249"/>
    </row>
    <row r="19" spans="2:17" ht="16.5">
      <c r="B19" s="505" t="s">
        <v>299</v>
      </c>
      <c r="C19" s="505"/>
      <c r="D19" s="505"/>
      <c r="E19" s="505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</row>
    <row r="20" spans="2:17" ht="16.5">
      <c r="B20" s="505" t="s">
        <v>145</v>
      </c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</row>
    <row r="21" spans="2:17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2:32" ht="15.75">
      <c r="B22" s="506" t="s">
        <v>134</v>
      </c>
      <c r="C22" s="507"/>
      <c r="D22" s="154" t="s">
        <v>1</v>
      </c>
      <c r="E22" s="154" t="s">
        <v>24</v>
      </c>
      <c r="F22" s="154" t="s">
        <v>49</v>
      </c>
      <c r="G22" s="154" t="s">
        <v>50</v>
      </c>
      <c r="H22" s="154" t="s">
        <v>51</v>
      </c>
      <c r="I22" s="154" t="s">
        <v>52</v>
      </c>
      <c r="J22" s="154" t="s">
        <v>53</v>
      </c>
      <c r="K22" s="154" t="s">
        <v>54</v>
      </c>
      <c r="L22" s="154" t="s">
        <v>55</v>
      </c>
      <c r="M22" s="154" t="s">
        <v>56</v>
      </c>
      <c r="N22" s="154" t="s">
        <v>57</v>
      </c>
      <c r="O22" s="154" t="s">
        <v>58</v>
      </c>
      <c r="P22" s="506" t="s">
        <v>59</v>
      </c>
      <c r="Q22" s="508"/>
      <c r="S22" s="176" t="s">
        <v>24</v>
      </c>
      <c r="T22" s="176" t="s">
        <v>49</v>
      </c>
      <c r="U22" s="176" t="s">
        <v>50</v>
      </c>
      <c r="V22" s="176" t="s">
        <v>51</v>
      </c>
      <c r="W22" s="176" t="s">
        <v>52</v>
      </c>
      <c r="X22" s="176" t="s">
        <v>53</v>
      </c>
      <c r="Y22" s="176" t="s">
        <v>54</v>
      </c>
      <c r="Z22" s="176" t="s">
        <v>55</v>
      </c>
      <c r="AA22" s="176" t="s">
        <v>56</v>
      </c>
      <c r="AB22" s="176" t="s">
        <v>57</v>
      </c>
      <c r="AC22" s="176" t="s">
        <v>58</v>
      </c>
      <c r="AD22" s="176" t="s">
        <v>59</v>
      </c>
      <c r="AE22" s="176"/>
      <c r="AF22" s="176"/>
    </row>
    <row r="23" spans="2:32" ht="15.75">
      <c r="B23" s="65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7"/>
      <c r="S23" s="249">
        <v>1473.34</v>
      </c>
      <c r="T23" s="249">
        <v>1770.3</v>
      </c>
      <c r="U23" s="249">
        <v>1532.21</v>
      </c>
      <c r="V23" s="249">
        <v>1728.6399999999999</v>
      </c>
      <c r="W23" s="249">
        <v>1573.45</v>
      </c>
      <c r="X23" s="249">
        <v>1337.8199999999997</v>
      </c>
      <c r="Y23" s="249">
        <v>1055.45</v>
      </c>
      <c r="Z23" s="249">
        <v>1214.79</v>
      </c>
      <c r="AA23" s="249">
        <v>910.1700000000001</v>
      </c>
      <c r="AB23" s="249">
        <v>591</v>
      </c>
      <c r="AC23" s="249">
        <v>712.22</v>
      </c>
      <c r="AD23" s="249">
        <v>392.99</v>
      </c>
      <c r="AE23" s="176"/>
      <c r="AF23" s="176"/>
    </row>
    <row r="24" spans="2:32" ht="15.75">
      <c r="B24" s="509" t="s">
        <v>1</v>
      </c>
      <c r="C24" s="510"/>
      <c r="D24" s="155">
        <f>SUM(D26:D27)</f>
        <v>16.182000000000002</v>
      </c>
      <c r="E24" s="155">
        <f aca="true" t="shared" si="1" ref="E24:P24">SUM(E26:E27)</f>
        <v>0.184</v>
      </c>
      <c r="F24" s="155">
        <f t="shared" si="1"/>
        <v>0</v>
      </c>
      <c r="G24" s="155">
        <f t="shared" si="1"/>
        <v>0</v>
      </c>
      <c r="H24" s="155">
        <f t="shared" si="1"/>
        <v>0</v>
      </c>
      <c r="I24" s="155">
        <f t="shared" si="1"/>
        <v>3.86</v>
      </c>
      <c r="J24" s="155">
        <f t="shared" si="1"/>
        <v>2.373</v>
      </c>
      <c r="K24" s="155">
        <f t="shared" si="1"/>
        <v>1.824</v>
      </c>
      <c r="L24" s="155">
        <f t="shared" si="1"/>
        <v>1.829</v>
      </c>
      <c r="M24" s="155">
        <f t="shared" si="1"/>
        <v>2.97</v>
      </c>
      <c r="N24" s="155">
        <f t="shared" si="1"/>
        <v>1.21</v>
      </c>
      <c r="O24" s="155">
        <f t="shared" si="1"/>
        <v>0.492</v>
      </c>
      <c r="P24" s="155">
        <f t="shared" si="1"/>
        <v>1.44</v>
      </c>
      <c r="Q24" s="156"/>
      <c r="AC24" s="176"/>
      <c r="AD24" s="176"/>
      <c r="AE24" s="176"/>
      <c r="AF24" s="176"/>
    </row>
    <row r="25" spans="2:17" ht="15">
      <c r="B25" s="211"/>
      <c r="C25" s="96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212"/>
    </row>
    <row r="26" spans="2:17" ht="15">
      <c r="B26" s="211"/>
      <c r="C26" s="96" t="s">
        <v>48</v>
      </c>
      <c r="D26" s="80">
        <f>SUM(E26:P26)</f>
        <v>16.182000000000002</v>
      </c>
      <c r="E26" s="80">
        <v>0.184</v>
      </c>
      <c r="F26" s="80" t="s">
        <v>21</v>
      </c>
      <c r="G26" s="80" t="s">
        <v>21</v>
      </c>
      <c r="H26" s="80" t="s">
        <v>21</v>
      </c>
      <c r="I26" s="80">
        <v>3.86</v>
      </c>
      <c r="J26" s="80">
        <v>2.373</v>
      </c>
      <c r="K26" s="80">
        <v>1.824</v>
      </c>
      <c r="L26" s="80">
        <v>1.829</v>
      </c>
      <c r="M26" s="80">
        <v>2.97</v>
      </c>
      <c r="N26" s="80">
        <v>1.21</v>
      </c>
      <c r="O26" s="80">
        <v>0.492</v>
      </c>
      <c r="P26" s="80">
        <v>1.44</v>
      </c>
      <c r="Q26" s="212"/>
    </row>
    <row r="27" spans="2:17" ht="15">
      <c r="B27" s="211"/>
      <c r="C27" s="96" t="s">
        <v>300</v>
      </c>
      <c r="D27" s="80">
        <f>SUM(E27:P27)</f>
        <v>0</v>
      </c>
      <c r="E27" s="80" t="s">
        <v>21</v>
      </c>
      <c r="F27" s="80" t="s">
        <v>21</v>
      </c>
      <c r="G27" s="80" t="s">
        <v>21</v>
      </c>
      <c r="H27" s="80" t="s">
        <v>21</v>
      </c>
      <c r="I27" s="80" t="s">
        <v>21</v>
      </c>
      <c r="J27" s="80" t="s">
        <v>21</v>
      </c>
      <c r="K27" s="80" t="s">
        <v>21</v>
      </c>
      <c r="L27" s="80" t="s">
        <v>21</v>
      </c>
      <c r="M27" s="80" t="s">
        <v>21</v>
      </c>
      <c r="N27" s="80" t="s">
        <v>21</v>
      </c>
      <c r="O27" s="80" t="s">
        <v>21</v>
      </c>
      <c r="P27" s="80" t="s">
        <v>21</v>
      </c>
      <c r="Q27" s="212"/>
    </row>
    <row r="28" spans="2:17" ht="9" customHeight="1">
      <c r="B28" s="213"/>
      <c r="C28" s="214"/>
      <c r="D28" s="214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215"/>
    </row>
    <row r="29" spans="2:17" ht="12.75">
      <c r="B29" s="42" t="s">
        <v>147</v>
      </c>
      <c r="C29" s="98"/>
      <c r="D29" s="4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2"/>
    </row>
    <row r="30" spans="2:17" ht="12.75">
      <c r="B30" s="42"/>
      <c r="C30" s="98"/>
      <c r="D30" s="42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42"/>
    </row>
    <row r="32" spans="2:17" ht="16.5" hidden="1">
      <c r="B32" s="505" t="s">
        <v>297</v>
      </c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</row>
    <row r="33" spans="2:17" ht="16.5" hidden="1">
      <c r="B33" s="505" t="s">
        <v>145</v>
      </c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505"/>
      <c r="Q33" s="505"/>
    </row>
    <row r="34" spans="2:17" ht="12.75" hidden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2:32" ht="15.75" hidden="1">
      <c r="B35" s="506" t="s">
        <v>134</v>
      </c>
      <c r="C35" s="507"/>
      <c r="D35" s="154" t="s">
        <v>1</v>
      </c>
      <c r="E35" s="154" t="s">
        <v>24</v>
      </c>
      <c r="F35" s="154" t="s">
        <v>49</v>
      </c>
      <c r="G35" s="154" t="s">
        <v>50</v>
      </c>
      <c r="H35" s="154" t="s">
        <v>51</v>
      </c>
      <c r="I35" s="154" t="s">
        <v>52</v>
      </c>
      <c r="J35" s="154" t="s">
        <v>53</v>
      </c>
      <c r="K35" s="154" t="s">
        <v>54</v>
      </c>
      <c r="L35" s="154" t="s">
        <v>55</v>
      </c>
      <c r="M35" s="154" t="s">
        <v>56</v>
      </c>
      <c r="N35" s="154" t="s">
        <v>57</v>
      </c>
      <c r="O35" s="154" t="s">
        <v>58</v>
      </c>
      <c r="P35" s="506" t="s">
        <v>59</v>
      </c>
      <c r="Q35" s="508"/>
      <c r="S35" s="176" t="s">
        <v>24</v>
      </c>
      <c r="T35" s="176" t="s">
        <v>49</v>
      </c>
      <c r="U35" s="176" t="s">
        <v>50</v>
      </c>
      <c r="V35" s="176" t="s">
        <v>51</v>
      </c>
      <c r="W35" s="176" t="s">
        <v>52</v>
      </c>
      <c r="X35" s="176" t="s">
        <v>53</v>
      </c>
      <c r="Y35" s="176" t="s">
        <v>54</v>
      </c>
      <c r="Z35" s="176" t="s">
        <v>55</v>
      </c>
      <c r="AA35" s="176" t="s">
        <v>56</v>
      </c>
      <c r="AB35" s="176" t="s">
        <v>57</v>
      </c>
      <c r="AC35" s="176" t="s">
        <v>58</v>
      </c>
      <c r="AD35" s="176" t="s">
        <v>59</v>
      </c>
      <c r="AE35" s="176"/>
      <c r="AF35" s="176"/>
    </row>
    <row r="36" spans="2:32" ht="15.75" hidden="1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7"/>
      <c r="S36" s="249">
        <v>1473.34</v>
      </c>
      <c r="T36" s="249">
        <v>1770.3</v>
      </c>
      <c r="U36" s="249">
        <v>1532.21</v>
      </c>
      <c r="V36" s="249">
        <v>1728.6399999999999</v>
      </c>
      <c r="W36" s="249">
        <v>1573.45</v>
      </c>
      <c r="X36" s="249">
        <v>1337.8199999999997</v>
      </c>
      <c r="Y36" s="249">
        <v>1055.45</v>
      </c>
      <c r="Z36" s="249">
        <v>1214.79</v>
      </c>
      <c r="AA36" s="249">
        <v>910.1700000000001</v>
      </c>
      <c r="AB36" s="249">
        <v>591</v>
      </c>
      <c r="AC36" s="249">
        <v>712.22</v>
      </c>
      <c r="AD36" s="249">
        <v>392.99</v>
      </c>
      <c r="AE36" s="176"/>
      <c r="AF36" s="176"/>
    </row>
    <row r="37" spans="2:32" ht="15.75" hidden="1">
      <c r="B37" s="509" t="s">
        <v>1</v>
      </c>
      <c r="C37" s="510"/>
      <c r="D37" s="155">
        <f>SUM(D39:D40)</f>
        <v>0</v>
      </c>
      <c r="E37" s="155">
        <f aca="true" t="shared" si="2" ref="E37:P37">SUM(E39:E40)</f>
        <v>0</v>
      </c>
      <c r="F37" s="155">
        <f t="shared" si="2"/>
        <v>0</v>
      </c>
      <c r="G37" s="155">
        <f t="shared" si="2"/>
        <v>0</v>
      </c>
      <c r="H37" s="155">
        <f t="shared" si="2"/>
        <v>0</v>
      </c>
      <c r="I37" s="155">
        <f t="shared" si="2"/>
        <v>0</v>
      </c>
      <c r="J37" s="155">
        <f t="shared" si="2"/>
        <v>0</v>
      </c>
      <c r="K37" s="155">
        <f t="shared" si="2"/>
        <v>0</v>
      </c>
      <c r="L37" s="155">
        <f t="shared" si="2"/>
        <v>0</v>
      </c>
      <c r="M37" s="155">
        <f t="shared" si="2"/>
        <v>0</v>
      </c>
      <c r="N37" s="155">
        <f t="shared" si="2"/>
        <v>0</v>
      </c>
      <c r="O37" s="155">
        <f t="shared" si="2"/>
        <v>0</v>
      </c>
      <c r="P37" s="155">
        <f t="shared" si="2"/>
        <v>0</v>
      </c>
      <c r="Q37" s="156"/>
      <c r="AC37" s="176"/>
      <c r="AD37" s="176"/>
      <c r="AE37" s="176"/>
      <c r="AF37" s="176"/>
    </row>
    <row r="38" spans="2:17" ht="15" hidden="1">
      <c r="B38" s="211"/>
      <c r="C38" s="96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212"/>
    </row>
    <row r="39" spans="2:17" ht="15" hidden="1">
      <c r="B39" s="211"/>
      <c r="C39" s="96" t="s">
        <v>26</v>
      </c>
      <c r="D39" s="80">
        <f>SUM(E39:P39)</f>
        <v>0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212"/>
    </row>
    <row r="40" spans="2:17" ht="15" hidden="1">
      <c r="B40" s="211"/>
      <c r="C40" s="96" t="s">
        <v>27</v>
      </c>
      <c r="D40" s="80">
        <f>SUM(E40:P40)</f>
        <v>0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212"/>
    </row>
    <row r="41" spans="2:17" ht="9" customHeight="1" hidden="1">
      <c r="B41" s="213"/>
      <c r="C41" s="214"/>
      <c r="D41" s="214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215"/>
    </row>
    <row r="42" spans="2:17" ht="12.75" hidden="1">
      <c r="B42" s="42" t="s">
        <v>147</v>
      </c>
      <c r="C42" s="98"/>
      <c r="D42" s="42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2"/>
    </row>
    <row r="43" ht="12.75" hidden="1"/>
    <row r="44" ht="12.75" hidden="1"/>
    <row r="45" spans="2:38" ht="16.5">
      <c r="B45" s="505" t="s">
        <v>298</v>
      </c>
      <c r="C45" s="505"/>
      <c r="D45" s="505"/>
      <c r="E45" s="505"/>
      <c r="F45" s="505"/>
      <c r="G45" s="505"/>
      <c r="H45" s="505"/>
      <c r="I45" s="505"/>
      <c r="J45" s="505"/>
      <c r="K45" s="505"/>
      <c r="L45" s="505"/>
      <c r="M45" s="505"/>
      <c r="N45" s="505"/>
      <c r="O45" s="505"/>
      <c r="P45" s="505"/>
      <c r="Q45" s="505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</row>
    <row r="46" spans="2:38" ht="16.5">
      <c r="B46" s="505" t="s">
        <v>145</v>
      </c>
      <c r="C46" s="505"/>
      <c r="D46" s="505"/>
      <c r="E46" s="505"/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</row>
    <row r="47" spans="2:3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Z47" s="176" t="s">
        <v>24</v>
      </c>
      <c r="AA47" s="176" t="s">
        <v>49</v>
      </c>
      <c r="AB47" s="176" t="s">
        <v>50</v>
      </c>
      <c r="AC47" s="176" t="s">
        <v>51</v>
      </c>
      <c r="AD47" s="176" t="s">
        <v>52</v>
      </c>
      <c r="AE47" s="176" t="s">
        <v>53</v>
      </c>
      <c r="AF47" s="176" t="s">
        <v>54</v>
      </c>
      <c r="AG47" s="176" t="s">
        <v>55</v>
      </c>
      <c r="AH47" s="176" t="s">
        <v>56</v>
      </c>
      <c r="AI47" s="176" t="s">
        <v>57</v>
      </c>
      <c r="AJ47" s="176" t="s">
        <v>58</v>
      </c>
      <c r="AK47" s="176" t="s">
        <v>59</v>
      </c>
      <c r="AL47" s="176"/>
    </row>
    <row r="48" spans="2:38" ht="15.75">
      <c r="B48" s="506" t="s">
        <v>134</v>
      </c>
      <c r="C48" s="507"/>
      <c r="D48" s="154" t="s">
        <v>1</v>
      </c>
      <c r="E48" s="154" t="s">
        <v>24</v>
      </c>
      <c r="F48" s="154" t="s">
        <v>49</v>
      </c>
      <c r="G48" s="154" t="s">
        <v>50</v>
      </c>
      <c r="H48" s="154" t="s">
        <v>51</v>
      </c>
      <c r="I48" s="154" t="s">
        <v>52</v>
      </c>
      <c r="J48" s="154" t="s">
        <v>53</v>
      </c>
      <c r="K48" s="154" t="s">
        <v>54</v>
      </c>
      <c r="L48" s="154" t="s">
        <v>55</v>
      </c>
      <c r="M48" s="154" t="s">
        <v>56</v>
      </c>
      <c r="N48" s="154" t="s">
        <v>57</v>
      </c>
      <c r="O48" s="154" t="s">
        <v>58</v>
      </c>
      <c r="P48" s="506" t="s">
        <v>59</v>
      </c>
      <c r="Q48" s="508"/>
      <c r="S48" s="176" t="s">
        <v>43</v>
      </c>
      <c r="T48" s="249">
        <v>4285.47</v>
      </c>
      <c r="Z48" s="249">
        <v>4261.7300000000005</v>
      </c>
      <c r="AA48" s="249">
        <v>4140.04</v>
      </c>
      <c r="AB48" s="249">
        <v>3127.12</v>
      </c>
      <c r="AC48" s="249">
        <v>1594.89</v>
      </c>
      <c r="AD48" s="249">
        <v>1304.7600000000002</v>
      </c>
      <c r="AE48" s="249">
        <v>1856.8799999999999</v>
      </c>
      <c r="AF48" s="249">
        <v>2670.5400000000004</v>
      </c>
      <c r="AG48" s="249">
        <v>1257.61</v>
      </c>
      <c r="AH48" s="249">
        <v>1446.91</v>
      </c>
      <c r="AI48" s="249">
        <v>2142.1699999999996</v>
      </c>
      <c r="AJ48" s="249">
        <v>3011.12</v>
      </c>
      <c r="AK48" s="249">
        <v>4112.160000000001</v>
      </c>
      <c r="AL48" s="176"/>
    </row>
    <row r="49" spans="2:38" ht="15.75">
      <c r="B49" s="6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7"/>
      <c r="S49" s="176" t="s">
        <v>278</v>
      </c>
      <c r="T49" s="249">
        <v>8995.910000000002</v>
      </c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</row>
    <row r="50" spans="2:38" ht="15.75">
      <c r="B50" s="509" t="s">
        <v>1</v>
      </c>
      <c r="C50" s="510"/>
      <c r="D50" s="155">
        <f>SUM(D52:D61)</f>
        <v>37167.049</v>
      </c>
      <c r="E50" s="155">
        <f aca="true" t="shared" si="3" ref="E50:Q50">SUM(E52:E61)</f>
        <v>3381.1900000000005</v>
      </c>
      <c r="F50" s="155">
        <f t="shared" si="3"/>
        <v>1552.6929999999998</v>
      </c>
      <c r="G50" s="155">
        <f t="shared" si="3"/>
        <v>5372.01</v>
      </c>
      <c r="H50" s="155">
        <f t="shared" si="3"/>
        <v>4181.049</v>
      </c>
      <c r="I50" s="155">
        <f t="shared" si="3"/>
        <v>3800.17</v>
      </c>
      <c r="J50" s="155">
        <f t="shared" si="3"/>
        <v>3393.11</v>
      </c>
      <c r="K50" s="155">
        <f t="shared" si="3"/>
        <v>3261.84</v>
      </c>
      <c r="L50" s="155">
        <f t="shared" si="3"/>
        <v>3259.184</v>
      </c>
      <c r="M50" s="155">
        <f t="shared" si="3"/>
        <v>3064.675</v>
      </c>
      <c r="N50" s="155">
        <f t="shared" si="3"/>
        <v>2002.166</v>
      </c>
      <c r="O50" s="155">
        <f t="shared" si="3"/>
        <v>1977.7220000000002</v>
      </c>
      <c r="P50" s="155">
        <f t="shared" si="3"/>
        <v>1921.24</v>
      </c>
      <c r="Q50" s="440">
        <f t="shared" si="3"/>
        <v>0</v>
      </c>
      <c r="S50" s="176" t="s">
        <v>279</v>
      </c>
      <c r="T50" s="249">
        <v>5.45</v>
      </c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</row>
    <row r="51" spans="2:38" ht="15">
      <c r="B51" s="211"/>
      <c r="C51" s="9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212"/>
      <c r="S51" s="176" t="s">
        <v>280</v>
      </c>
      <c r="T51" s="249">
        <v>317.28999999999996</v>
      </c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</row>
    <row r="52" spans="2:20" ht="15">
      <c r="B52" s="211"/>
      <c r="C52" s="96" t="s">
        <v>43</v>
      </c>
      <c r="D52" s="80">
        <f>SUM(E52:P52)</f>
        <v>5201.415999999999</v>
      </c>
      <c r="E52" s="80">
        <v>438.5</v>
      </c>
      <c r="F52" s="80">
        <v>15.43</v>
      </c>
      <c r="G52" s="80">
        <v>645.5</v>
      </c>
      <c r="H52" s="80">
        <v>473.076</v>
      </c>
      <c r="I52" s="80">
        <v>570.38</v>
      </c>
      <c r="J52" s="80">
        <v>656.31</v>
      </c>
      <c r="K52" s="80">
        <v>459.4</v>
      </c>
      <c r="L52" s="80">
        <v>356.33</v>
      </c>
      <c r="M52" s="80">
        <v>426.51</v>
      </c>
      <c r="N52" s="80">
        <v>293.16</v>
      </c>
      <c r="O52" s="80">
        <v>413.25000000000006</v>
      </c>
      <c r="P52" s="80">
        <v>453.57</v>
      </c>
      <c r="Q52" s="212"/>
      <c r="S52" s="176" t="s">
        <v>281</v>
      </c>
      <c r="T52" s="249">
        <v>3423.4699999999993</v>
      </c>
    </row>
    <row r="53" spans="2:20" ht="15">
      <c r="B53" s="211"/>
      <c r="C53" s="96" t="s">
        <v>278</v>
      </c>
      <c r="D53" s="80">
        <f>SUM(E53:P53)</f>
        <v>213.46</v>
      </c>
      <c r="E53" s="80" t="s">
        <v>21</v>
      </c>
      <c r="F53" s="80">
        <v>16.92</v>
      </c>
      <c r="G53" s="80">
        <v>22.05</v>
      </c>
      <c r="H53" s="80">
        <v>56.59</v>
      </c>
      <c r="I53" s="80" t="s">
        <v>21</v>
      </c>
      <c r="J53" s="80">
        <v>95.72</v>
      </c>
      <c r="K53" s="80" t="s">
        <v>21</v>
      </c>
      <c r="L53" s="80">
        <v>22.18</v>
      </c>
      <c r="M53" s="80" t="s">
        <v>21</v>
      </c>
      <c r="N53" s="80" t="s">
        <v>21</v>
      </c>
      <c r="O53" s="80" t="s">
        <v>21</v>
      </c>
      <c r="P53" s="80" t="s">
        <v>21</v>
      </c>
      <c r="Q53" s="212"/>
      <c r="S53" s="176" t="s">
        <v>282</v>
      </c>
      <c r="T53" s="249">
        <v>9872.050000000001</v>
      </c>
    </row>
    <row r="54" spans="2:20" ht="15">
      <c r="B54" s="211"/>
      <c r="C54" s="96" t="s">
        <v>279</v>
      </c>
      <c r="D54" s="80">
        <f>SUM(E54:P54)</f>
        <v>9118.856</v>
      </c>
      <c r="E54" s="80">
        <v>895.1800000000001</v>
      </c>
      <c r="F54" s="80">
        <v>152.756</v>
      </c>
      <c r="G54" s="80">
        <v>1244.97</v>
      </c>
      <c r="H54" s="80">
        <v>954.7500000000001</v>
      </c>
      <c r="I54" s="80">
        <v>1107.56</v>
      </c>
      <c r="J54" s="80">
        <v>573.0600000000001</v>
      </c>
      <c r="K54" s="80">
        <v>972.15</v>
      </c>
      <c r="L54" s="80">
        <v>705.8100000000001</v>
      </c>
      <c r="M54" s="80">
        <v>603.69</v>
      </c>
      <c r="N54" s="80">
        <v>585.16</v>
      </c>
      <c r="O54" s="80">
        <v>596.39</v>
      </c>
      <c r="P54" s="80">
        <v>727.38</v>
      </c>
      <c r="Q54" s="212"/>
      <c r="S54" s="176" t="s">
        <v>128</v>
      </c>
      <c r="T54" s="249">
        <v>707.54</v>
      </c>
    </row>
    <row r="55" spans="2:20" ht="15">
      <c r="B55" s="211"/>
      <c r="C55" s="96" t="s">
        <v>280</v>
      </c>
      <c r="D55" s="80">
        <f aca="true" t="shared" si="4" ref="D55:D61">SUM(E55:P55)</f>
        <v>272.697</v>
      </c>
      <c r="E55" s="80" t="s">
        <v>21</v>
      </c>
      <c r="F55" s="80">
        <v>20.127</v>
      </c>
      <c r="G55" s="80" t="s">
        <v>21</v>
      </c>
      <c r="H55" s="80">
        <v>25.623</v>
      </c>
      <c r="I55" s="80" t="s">
        <v>21</v>
      </c>
      <c r="J55" s="80" t="s">
        <v>21</v>
      </c>
      <c r="K55" s="80" t="s">
        <v>21</v>
      </c>
      <c r="L55" s="80">
        <v>55.014</v>
      </c>
      <c r="M55" s="80">
        <v>34.095</v>
      </c>
      <c r="N55" s="80">
        <v>98.816</v>
      </c>
      <c r="O55" s="80">
        <v>39.022</v>
      </c>
      <c r="P55" s="80" t="s">
        <v>21</v>
      </c>
      <c r="Q55" s="212"/>
      <c r="S55" s="176" t="s">
        <v>44</v>
      </c>
      <c r="T55" s="249">
        <v>2495.3999999999996</v>
      </c>
    </row>
    <row r="56" spans="2:20" ht="15">
      <c r="B56" s="211"/>
      <c r="C56" s="96" t="s">
        <v>281</v>
      </c>
      <c r="D56" s="80">
        <f t="shared" si="4"/>
        <v>1894.5300000000002</v>
      </c>
      <c r="E56" s="80">
        <v>269.01</v>
      </c>
      <c r="F56" s="80" t="s">
        <v>21</v>
      </c>
      <c r="G56" s="80">
        <v>192.04</v>
      </c>
      <c r="H56" s="80">
        <v>363.23</v>
      </c>
      <c r="I56" s="80">
        <v>192.55</v>
      </c>
      <c r="J56" s="80">
        <v>88.74</v>
      </c>
      <c r="K56" s="80">
        <v>44.5</v>
      </c>
      <c r="L56" s="80">
        <v>212.92</v>
      </c>
      <c r="M56" s="80">
        <v>175.4</v>
      </c>
      <c r="N56" s="80">
        <v>112.02</v>
      </c>
      <c r="O56" s="80">
        <v>111.24</v>
      </c>
      <c r="P56" s="80">
        <v>132.88</v>
      </c>
      <c r="Q56" s="212"/>
      <c r="S56" s="176" t="s">
        <v>283</v>
      </c>
      <c r="T56" s="249">
        <v>501.75</v>
      </c>
    </row>
    <row r="57" spans="2:20" ht="15">
      <c r="B57" s="211"/>
      <c r="C57" s="96" t="s">
        <v>301</v>
      </c>
      <c r="D57" s="80">
        <f t="shared" si="4"/>
        <v>14809.92</v>
      </c>
      <c r="E57" s="80">
        <v>1194.92</v>
      </c>
      <c r="F57" s="80">
        <v>1212.7499999999998</v>
      </c>
      <c r="G57" s="80">
        <v>2453.05</v>
      </c>
      <c r="H57" s="80">
        <v>1527.62</v>
      </c>
      <c r="I57" s="80">
        <v>1447.66</v>
      </c>
      <c r="J57" s="80">
        <v>1487.47</v>
      </c>
      <c r="K57" s="80">
        <v>1314.91</v>
      </c>
      <c r="L57" s="80">
        <v>1319.5300000000002</v>
      </c>
      <c r="M57" s="80">
        <v>1317.56</v>
      </c>
      <c r="N57" s="80">
        <v>553.0799999999999</v>
      </c>
      <c r="O57" s="80">
        <v>509.66999999999996</v>
      </c>
      <c r="P57" s="80">
        <v>471.70000000000005</v>
      </c>
      <c r="Q57" s="212"/>
      <c r="S57" s="176" t="s">
        <v>97</v>
      </c>
      <c r="T57" s="249">
        <v>321.59999999999997</v>
      </c>
    </row>
    <row r="58" spans="2:17" ht="15">
      <c r="B58" s="211"/>
      <c r="C58" s="96" t="s">
        <v>128</v>
      </c>
      <c r="D58" s="80">
        <f t="shared" si="4"/>
        <v>2447.3800000000006</v>
      </c>
      <c r="E58" s="80">
        <v>235.92000000000002</v>
      </c>
      <c r="F58" s="80">
        <v>133.70999999999998</v>
      </c>
      <c r="G58" s="80">
        <v>291.38</v>
      </c>
      <c r="H58" s="80">
        <v>251.87</v>
      </c>
      <c r="I58" s="80">
        <v>255.04000000000005</v>
      </c>
      <c r="J58" s="80">
        <v>295.15000000000003</v>
      </c>
      <c r="K58" s="80">
        <v>282.25</v>
      </c>
      <c r="L58" s="80">
        <v>233.4</v>
      </c>
      <c r="M58" s="80">
        <v>177.76</v>
      </c>
      <c r="N58" s="80">
        <v>93.92</v>
      </c>
      <c r="O58" s="80">
        <v>120.78</v>
      </c>
      <c r="P58" s="80">
        <v>76.19999999999999</v>
      </c>
      <c r="Q58" s="212"/>
    </row>
    <row r="59" spans="2:17" ht="15">
      <c r="B59" s="211"/>
      <c r="C59" s="96" t="s">
        <v>44</v>
      </c>
      <c r="D59" s="80">
        <f t="shared" si="4"/>
        <v>3178.75</v>
      </c>
      <c r="E59" s="80">
        <v>340.61</v>
      </c>
      <c r="F59" s="80">
        <v>1</v>
      </c>
      <c r="G59" s="80">
        <v>516.27</v>
      </c>
      <c r="H59" s="80">
        <v>528.29</v>
      </c>
      <c r="I59" s="80">
        <v>226.98000000000002</v>
      </c>
      <c r="J59" s="80">
        <v>196.66000000000003</v>
      </c>
      <c r="K59" s="80">
        <v>188.63</v>
      </c>
      <c r="L59" s="80">
        <v>337.76</v>
      </c>
      <c r="M59" s="80">
        <v>329.65999999999997</v>
      </c>
      <c r="N59" s="80">
        <v>266.01</v>
      </c>
      <c r="O59" s="80">
        <v>187.37</v>
      </c>
      <c r="P59" s="80">
        <v>59.51</v>
      </c>
      <c r="Q59" s="212"/>
    </row>
    <row r="60" spans="2:17" ht="15">
      <c r="B60" s="211"/>
      <c r="C60" s="96" t="s">
        <v>48</v>
      </c>
      <c r="D60" s="80">
        <f t="shared" si="4"/>
        <v>30.04</v>
      </c>
      <c r="E60" s="80">
        <v>7.05</v>
      </c>
      <c r="F60" s="80" t="s">
        <v>21</v>
      </c>
      <c r="G60" s="80">
        <v>6.75</v>
      </c>
      <c r="H60" s="80" t="s">
        <v>21</v>
      </c>
      <c r="I60" s="80" t="s">
        <v>21</v>
      </c>
      <c r="J60" s="80" t="s">
        <v>21</v>
      </c>
      <c r="K60" s="80" t="s">
        <v>21</v>
      </c>
      <c r="L60" s="80">
        <v>16.24</v>
      </c>
      <c r="M60" s="80" t="s">
        <v>21</v>
      </c>
      <c r="N60" s="80" t="s">
        <v>21</v>
      </c>
      <c r="O60" s="80" t="s">
        <v>21</v>
      </c>
      <c r="P60" s="80" t="s">
        <v>21</v>
      </c>
      <c r="Q60" s="212"/>
    </row>
    <row r="61" spans="2:17" ht="15">
      <c r="B61" s="211"/>
      <c r="C61" s="96" t="s">
        <v>97</v>
      </c>
      <c r="D61" s="80">
        <f t="shared" si="4"/>
        <v>0</v>
      </c>
      <c r="E61" s="80" t="s">
        <v>21</v>
      </c>
      <c r="F61" s="80" t="s">
        <v>21</v>
      </c>
      <c r="G61" s="80" t="s">
        <v>21</v>
      </c>
      <c r="H61" s="80" t="s">
        <v>21</v>
      </c>
      <c r="I61" s="80" t="s">
        <v>21</v>
      </c>
      <c r="J61" s="80" t="s">
        <v>21</v>
      </c>
      <c r="K61" s="80" t="s">
        <v>21</v>
      </c>
      <c r="L61" s="80" t="s">
        <v>21</v>
      </c>
      <c r="M61" s="80" t="s">
        <v>21</v>
      </c>
      <c r="N61" s="80" t="s">
        <v>21</v>
      </c>
      <c r="O61" s="80" t="s">
        <v>21</v>
      </c>
      <c r="P61" s="80" t="s">
        <v>21</v>
      </c>
      <c r="Q61" s="212"/>
    </row>
    <row r="62" spans="2:17" ht="5.25" customHeight="1">
      <c r="B62" s="213"/>
      <c r="C62" s="214"/>
      <c r="D62" s="214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215"/>
    </row>
    <row r="63" spans="2:17" ht="12.75">
      <c r="B63" s="42" t="s">
        <v>147</v>
      </c>
      <c r="C63" s="98"/>
      <c r="D63" s="42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2"/>
    </row>
  </sheetData>
  <sheetProtection/>
  <mergeCells count="20">
    <mergeCell ref="B48:C48"/>
    <mergeCell ref="P48:Q48"/>
    <mergeCell ref="B24:C24"/>
    <mergeCell ref="B50:C50"/>
    <mergeCell ref="B33:Q33"/>
    <mergeCell ref="B35:C35"/>
    <mergeCell ref="P35:Q35"/>
    <mergeCell ref="B37:C37"/>
    <mergeCell ref="B45:Q45"/>
    <mergeCell ref="B46:Q46"/>
    <mergeCell ref="B3:Q3"/>
    <mergeCell ref="B4:Q4"/>
    <mergeCell ref="B6:C6"/>
    <mergeCell ref="P6:Q6"/>
    <mergeCell ref="B8:C8"/>
    <mergeCell ref="B32:Q32"/>
    <mergeCell ref="B19:Q19"/>
    <mergeCell ref="B20:Q20"/>
    <mergeCell ref="B22:C22"/>
    <mergeCell ref="P22:Q2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297"/>
  <sheetViews>
    <sheetView showGridLines="0" zoomScale="85" zoomScaleNormal="85" zoomScaleSheetLayoutView="100" zoomScalePageLayoutView="0" workbookViewId="0" topLeftCell="B80">
      <selection activeCell="O101" sqref="O101"/>
    </sheetView>
  </sheetViews>
  <sheetFormatPr defaultColWidth="9.140625" defaultRowHeight="12.75"/>
  <cols>
    <col min="1" max="1" width="4.7109375" style="117" customWidth="1"/>
    <col min="2" max="2" width="1.8515625" style="117" customWidth="1"/>
    <col min="3" max="3" width="4.00390625" style="117" customWidth="1"/>
    <col min="4" max="4" width="41.28125" style="117" customWidth="1"/>
    <col min="5" max="5" width="16.421875" style="117" customWidth="1"/>
    <col min="6" max="6" width="25.421875" style="408" customWidth="1"/>
    <col min="7" max="7" width="15.7109375" style="117" customWidth="1"/>
    <col min="8" max="8" width="14.7109375" style="117" customWidth="1"/>
    <col min="9" max="9" width="16.8515625" style="117" customWidth="1"/>
    <col min="10" max="10" width="18.28125" style="117" customWidth="1"/>
    <col min="11" max="11" width="11.00390625" style="117" customWidth="1"/>
    <col min="12" max="12" width="1.8515625" style="117" customWidth="1"/>
    <col min="13" max="13" width="4.7109375" style="124" bestFit="1" customWidth="1"/>
    <col min="14" max="14" width="17.140625" style="334" customWidth="1"/>
    <col min="15" max="15" width="19.140625" style="331" customWidth="1"/>
    <col min="16" max="16" width="32.140625" style="331" customWidth="1"/>
    <col min="17" max="17" width="14.57421875" style="331" bestFit="1" customWidth="1"/>
    <col min="18" max="19" width="9.140625" style="331" customWidth="1"/>
    <col min="20" max="21" width="9.140625" style="330" customWidth="1"/>
    <col min="22" max="16384" width="9.140625" style="117" customWidth="1"/>
  </cols>
  <sheetData>
    <row r="3" spans="2:21" s="107" customFormat="1" ht="18">
      <c r="B3" s="513" t="s">
        <v>288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357"/>
      <c r="N3" s="319"/>
      <c r="O3" s="321"/>
      <c r="P3" s="331"/>
      <c r="Q3" s="331"/>
      <c r="R3" s="321"/>
      <c r="S3" s="321"/>
      <c r="T3" s="320"/>
      <c r="U3" s="320"/>
    </row>
    <row r="4" spans="2:21" s="107" customFormat="1" ht="18">
      <c r="B4" s="513" t="s">
        <v>145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357"/>
      <c r="N4" s="319"/>
      <c r="O4" s="317"/>
      <c r="P4" s="358"/>
      <c r="Q4" s="331"/>
      <c r="R4" s="321"/>
      <c r="S4" s="321"/>
      <c r="T4" s="320"/>
      <c r="U4" s="320"/>
    </row>
    <row r="5" spans="2:21" s="107" customFormat="1" ht="15">
      <c r="B5" s="356"/>
      <c r="C5" s="356"/>
      <c r="D5" s="356"/>
      <c r="E5" s="356"/>
      <c r="F5" s="438"/>
      <c r="G5" s="356"/>
      <c r="H5" s="359"/>
      <c r="I5" s="359"/>
      <c r="J5" s="359"/>
      <c r="K5" s="359"/>
      <c r="L5" s="356"/>
      <c r="M5" s="357"/>
      <c r="N5" s="319"/>
      <c r="O5" s="318"/>
      <c r="P5" s="358"/>
      <c r="Q5" s="331"/>
      <c r="R5" s="321"/>
      <c r="S5" s="321"/>
      <c r="T5" s="320"/>
      <c r="U5" s="320"/>
    </row>
    <row r="6" spans="13:21" s="107" customFormat="1" ht="17.25" customHeight="1">
      <c r="M6" s="116"/>
      <c r="N6" s="319"/>
      <c r="O6" s="320"/>
      <c r="P6" s="320"/>
      <c r="Q6" s="331"/>
      <c r="R6" s="321"/>
      <c r="S6" s="321"/>
      <c r="T6" s="320"/>
      <c r="U6" s="320"/>
    </row>
    <row r="7" spans="2:21" s="107" customFormat="1" ht="18.75" customHeight="1">
      <c r="B7" s="470" t="s">
        <v>154</v>
      </c>
      <c r="C7" s="471"/>
      <c r="D7" s="471"/>
      <c r="E7" s="474" t="s">
        <v>1</v>
      </c>
      <c r="F7" s="360" t="s">
        <v>155</v>
      </c>
      <c r="G7" s="470" t="s">
        <v>149</v>
      </c>
      <c r="H7" s="471"/>
      <c r="I7" s="471"/>
      <c r="J7" s="471"/>
      <c r="K7" s="471"/>
      <c r="L7" s="475"/>
      <c r="M7" s="108"/>
      <c r="N7" s="319"/>
      <c r="O7" s="320"/>
      <c r="P7" s="320"/>
      <c r="Q7" s="320"/>
      <c r="R7" s="321"/>
      <c r="S7" s="321"/>
      <c r="T7" s="320"/>
      <c r="U7" s="320"/>
    </row>
    <row r="8" spans="2:21" s="107" customFormat="1" ht="18.75" customHeight="1">
      <c r="B8" s="472"/>
      <c r="C8" s="473"/>
      <c r="D8" s="473"/>
      <c r="E8" s="474"/>
      <c r="F8" s="361" t="s">
        <v>156</v>
      </c>
      <c r="G8" s="362" t="s">
        <v>1</v>
      </c>
      <c r="H8" s="362" t="s">
        <v>152</v>
      </c>
      <c r="I8" s="362" t="s">
        <v>150</v>
      </c>
      <c r="J8" s="362" t="s">
        <v>151</v>
      </c>
      <c r="K8" s="476" t="s">
        <v>157</v>
      </c>
      <c r="L8" s="477"/>
      <c r="M8" s="108"/>
      <c r="N8" s="319"/>
      <c r="O8" s="321"/>
      <c r="P8" s="363"/>
      <c r="Q8" s="335"/>
      <c r="R8" s="321"/>
      <c r="S8" s="321"/>
      <c r="T8" s="320"/>
      <c r="U8" s="320"/>
    </row>
    <row r="9" spans="2:21" s="107" customFormat="1" ht="9" customHeight="1">
      <c r="B9" s="364"/>
      <c r="C9" s="365"/>
      <c r="D9" s="365"/>
      <c r="E9" s="365"/>
      <c r="F9" s="366"/>
      <c r="G9" s="365"/>
      <c r="H9" s="365"/>
      <c r="I9" s="365"/>
      <c r="J9" s="365"/>
      <c r="K9" s="367"/>
      <c r="L9" s="368"/>
      <c r="M9" s="111"/>
      <c r="N9" s="319"/>
      <c r="O9" s="321"/>
      <c r="P9" s="326"/>
      <c r="Q9" s="341"/>
      <c r="R9" s="321"/>
      <c r="S9" s="320"/>
      <c r="T9" s="320"/>
      <c r="U9" s="320"/>
    </row>
    <row r="10" spans="2:21" s="112" customFormat="1" ht="15">
      <c r="B10" s="468" t="s">
        <v>158</v>
      </c>
      <c r="C10" s="469"/>
      <c r="D10" s="469"/>
      <c r="E10" s="369">
        <f>+F10+G10</f>
        <v>7209566.288899476</v>
      </c>
      <c r="F10" s="369">
        <f>+F12</f>
        <v>6073326.298599996</v>
      </c>
      <c r="G10" s="369">
        <f>SUM(H10:K10)</f>
        <v>1136239.99029948</v>
      </c>
      <c r="H10" s="369">
        <f>+H12+H54+H76</f>
        <v>370080.5289699999</v>
      </c>
      <c r="I10" s="369">
        <f>+I12+I54+I76</f>
        <v>134516.44944999996</v>
      </c>
      <c r="J10" s="369">
        <f>+J12+J54+J76</f>
        <v>569648.96287948</v>
      </c>
      <c r="K10" s="369">
        <f>+K12+K54+K76</f>
        <v>61994.049</v>
      </c>
      <c r="L10" s="370" t="s">
        <v>138</v>
      </c>
      <c r="M10" s="113"/>
      <c r="N10" s="371"/>
      <c r="O10" s="322"/>
      <c r="P10" s="358"/>
      <c r="Q10" s="372"/>
      <c r="R10" s="323"/>
      <c r="S10" s="324"/>
      <c r="T10" s="324"/>
      <c r="U10" s="324"/>
    </row>
    <row r="11" spans="2:21" s="107" customFormat="1" ht="9" customHeight="1">
      <c r="B11" s="364"/>
      <c r="C11" s="365"/>
      <c r="D11" s="365"/>
      <c r="E11" s="373"/>
      <c r="F11" s="373"/>
      <c r="G11" s="373"/>
      <c r="H11" s="373"/>
      <c r="I11" s="373"/>
      <c r="J11" s="373"/>
      <c r="K11" s="373"/>
      <c r="L11" s="374"/>
      <c r="M11" s="111"/>
      <c r="N11" s="319"/>
      <c r="O11" s="321"/>
      <c r="P11" s="358"/>
      <c r="Q11" s="372"/>
      <c r="R11" s="321"/>
      <c r="S11" s="320"/>
      <c r="T11" s="320"/>
      <c r="U11" s="320"/>
    </row>
    <row r="12" spans="2:21" s="112" customFormat="1" ht="15">
      <c r="B12" s="375"/>
      <c r="C12" s="376" t="s">
        <v>62</v>
      </c>
      <c r="D12" s="376" t="s">
        <v>159</v>
      </c>
      <c r="E12" s="369">
        <f>+F12+G12</f>
        <v>6719471.203079475</v>
      </c>
      <c r="F12" s="369">
        <f>+F14+F52+F28+F41</f>
        <v>6073326.298599996</v>
      </c>
      <c r="G12" s="369">
        <f>+H12+I12+J12+K12</f>
        <v>646144.9044794799</v>
      </c>
      <c r="H12" s="369">
        <f>+H14+H28+H41+H52</f>
        <v>306526.44376999995</v>
      </c>
      <c r="I12" s="369">
        <f>+I14+I28+I41+I52</f>
        <v>133466.32506999996</v>
      </c>
      <c r="J12" s="369">
        <f>+J14+J28+J41+J52</f>
        <v>181325.13563948</v>
      </c>
      <c r="K12" s="369">
        <f>+K14+K28+K41+K52</f>
        <v>24827</v>
      </c>
      <c r="L12" s="377"/>
      <c r="M12" s="115"/>
      <c r="N12" s="325"/>
      <c r="O12" s="326"/>
      <c r="P12" s="378"/>
      <c r="Q12" s="334"/>
      <c r="R12" s="323"/>
      <c r="S12" s="321"/>
      <c r="T12" s="324"/>
      <c r="U12" s="324"/>
    </row>
    <row r="13" spans="2:21" s="107" customFormat="1" ht="7.5" customHeight="1">
      <c r="B13" s="364"/>
      <c r="C13" s="365"/>
      <c r="D13" s="365"/>
      <c r="E13" s="373"/>
      <c r="F13" s="373"/>
      <c r="G13" s="373"/>
      <c r="H13" s="373"/>
      <c r="I13" s="373"/>
      <c r="J13" s="373"/>
      <c r="K13" s="373"/>
      <c r="L13" s="374"/>
      <c r="M13" s="111"/>
      <c r="N13" s="319"/>
      <c r="O13" s="320"/>
      <c r="P13" s="320"/>
      <c r="Q13" s="335"/>
      <c r="R13" s="321"/>
      <c r="S13" s="320"/>
      <c r="T13" s="320"/>
      <c r="U13" s="320"/>
    </row>
    <row r="14" spans="2:21" s="116" customFormat="1" ht="15">
      <c r="B14" s="379"/>
      <c r="C14" s="111" t="s">
        <v>63</v>
      </c>
      <c r="D14" s="111" t="s">
        <v>160</v>
      </c>
      <c r="E14" s="380">
        <f aca="true" t="shared" si="0" ref="E14:J14">SUM(E16:E26)</f>
        <v>6509346.082654476</v>
      </c>
      <c r="F14" s="380">
        <f t="shared" si="0"/>
        <v>6072936.659099996</v>
      </c>
      <c r="G14" s="380">
        <f t="shared" si="0"/>
        <v>436409.42355447996</v>
      </c>
      <c r="H14" s="380">
        <f t="shared" si="0"/>
        <v>141861</v>
      </c>
      <c r="I14" s="380">
        <f t="shared" si="0"/>
        <v>131752.18876999995</v>
      </c>
      <c r="J14" s="380">
        <f t="shared" si="0"/>
        <v>140416.23478448</v>
      </c>
      <c r="K14" s="380">
        <f>SUM(K16:K26)</f>
        <v>22380</v>
      </c>
      <c r="L14" s="381"/>
      <c r="M14" s="111"/>
      <c r="N14" s="327"/>
      <c r="O14" s="328"/>
      <c r="P14" s="328"/>
      <c r="Q14" s="335"/>
      <c r="R14" s="319"/>
      <c r="S14" s="328"/>
      <c r="T14" s="328"/>
      <c r="U14" s="328"/>
    </row>
    <row r="15" spans="2:19" ht="7.5" customHeight="1">
      <c r="B15" s="382"/>
      <c r="C15" s="122"/>
      <c r="D15" s="122"/>
      <c r="E15" s="383"/>
      <c r="F15" s="384"/>
      <c r="G15" s="383"/>
      <c r="H15" s="123"/>
      <c r="I15" s="123"/>
      <c r="J15" s="383"/>
      <c r="K15" s="383"/>
      <c r="L15" s="385"/>
      <c r="M15" s="121"/>
      <c r="N15" s="329"/>
      <c r="O15" s="330"/>
      <c r="P15" s="330"/>
      <c r="Q15" s="335"/>
      <c r="S15" s="330"/>
    </row>
    <row r="16" spans="2:21" s="124" customFormat="1" ht="15" customHeight="1">
      <c r="B16" s="386"/>
      <c r="C16" s="121"/>
      <c r="D16" s="121" t="s">
        <v>64</v>
      </c>
      <c r="E16" s="123">
        <f>+F16+G16</f>
        <v>6194843.110599996</v>
      </c>
      <c r="F16" s="123">
        <v>6072887.839099996</v>
      </c>
      <c r="G16" s="123">
        <f>SUM(H16:K16)</f>
        <v>121955.27149999997</v>
      </c>
      <c r="H16" s="123">
        <v>872</v>
      </c>
      <c r="I16" s="123">
        <v>63716.27149999998</v>
      </c>
      <c r="J16" s="286">
        <v>38094</v>
      </c>
      <c r="K16" s="286">
        <v>19273</v>
      </c>
      <c r="L16" s="387"/>
      <c r="M16" s="121"/>
      <c r="N16" s="358"/>
      <c r="O16" s="332"/>
      <c r="P16" s="332"/>
      <c r="Q16" s="388"/>
      <c r="R16" s="334"/>
      <c r="S16" s="333"/>
      <c r="T16" s="333"/>
      <c r="U16" s="333"/>
    </row>
    <row r="17" spans="2:17" ht="15" customHeight="1">
      <c r="B17" s="382"/>
      <c r="C17" s="122"/>
      <c r="D17" s="121" t="s">
        <v>65</v>
      </c>
      <c r="E17" s="123">
        <f>+G17</f>
        <v>27365.975099999996</v>
      </c>
      <c r="F17" s="389" t="s">
        <v>21</v>
      </c>
      <c r="G17" s="123">
        <f aca="true" t="shared" si="1" ref="G17:G26">SUM(H17:K17)</f>
        <v>27365.975099999996</v>
      </c>
      <c r="H17" s="123">
        <v>565</v>
      </c>
      <c r="I17" s="123">
        <v>18138.975099999996</v>
      </c>
      <c r="J17" s="286">
        <v>8662</v>
      </c>
      <c r="K17" s="286" t="s">
        <v>21</v>
      </c>
      <c r="L17" s="385"/>
      <c r="M17" s="121"/>
      <c r="N17" s="358"/>
      <c r="O17" s="326"/>
      <c r="P17" s="326"/>
      <c r="Q17" s="330"/>
    </row>
    <row r="18" spans="2:17" ht="15" customHeight="1">
      <c r="B18" s="382"/>
      <c r="C18" s="122"/>
      <c r="D18" s="121" t="s">
        <v>66</v>
      </c>
      <c r="E18" s="123">
        <f>+G18</f>
        <v>9917.8602</v>
      </c>
      <c r="F18" s="389" t="s">
        <v>21</v>
      </c>
      <c r="G18" s="123">
        <f t="shared" si="1"/>
        <v>9917.8602</v>
      </c>
      <c r="H18" s="123">
        <v>203</v>
      </c>
      <c r="I18" s="123">
        <v>5064.8602</v>
      </c>
      <c r="J18" s="286">
        <v>4650</v>
      </c>
      <c r="K18" s="286">
        <v>0</v>
      </c>
      <c r="L18" s="385"/>
      <c r="M18" s="121"/>
      <c r="N18" s="358"/>
      <c r="O18" s="326"/>
      <c r="P18" s="326"/>
      <c r="Q18" s="330"/>
    </row>
    <row r="19" spans="2:21" s="124" customFormat="1" ht="15" customHeight="1">
      <c r="B19" s="386"/>
      <c r="C19" s="121"/>
      <c r="D19" s="121" t="s">
        <v>67</v>
      </c>
      <c r="E19" s="123">
        <f>+G19</f>
        <v>81794.99704</v>
      </c>
      <c r="F19" s="389" t="s">
        <v>21</v>
      </c>
      <c r="G19" s="123">
        <f t="shared" si="1"/>
        <v>81794.99704</v>
      </c>
      <c r="H19" s="123">
        <v>70573</v>
      </c>
      <c r="I19" s="123">
        <v>5593.708039999995</v>
      </c>
      <c r="J19" s="286">
        <v>4972.289000000001</v>
      </c>
      <c r="K19" s="286">
        <v>656</v>
      </c>
      <c r="L19" s="387"/>
      <c r="M19" s="121"/>
      <c r="N19" s="390"/>
      <c r="O19" s="332"/>
      <c r="P19" s="332"/>
      <c r="Q19" s="333"/>
      <c r="R19" s="334"/>
      <c r="S19" s="334"/>
      <c r="T19" s="333"/>
      <c r="U19" s="333"/>
    </row>
    <row r="20" spans="2:19" ht="15" customHeight="1">
      <c r="B20" s="382"/>
      <c r="C20" s="122"/>
      <c r="D20" s="121" t="s">
        <v>68</v>
      </c>
      <c r="E20" s="123">
        <f>+F20+G20</f>
        <v>72002.05319</v>
      </c>
      <c r="F20" s="123">
        <v>48.82</v>
      </c>
      <c r="G20" s="123">
        <f t="shared" si="1"/>
        <v>71953.23319</v>
      </c>
      <c r="H20" s="123">
        <v>18816.00000000002</v>
      </c>
      <c r="I20" s="123">
        <v>24610.468389999984</v>
      </c>
      <c r="J20" s="286">
        <v>26814.7648</v>
      </c>
      <c r="K20" s="286">
        <v>1712</v>
      </c>
      <c r="L20" s="385"/>
      <c r="M20" s="121"/>
      <c r="N20" s="358"/>
      <c r="O20" s="326"/>
      <c r="P20" s="358"/>
      <c r="Q20" s="335"/>
      <c r="S20" s="330"/>
    </row>
    <row r="21" spans="2:19" ht="15" customHeight="1">
      <c r="B21" s="382"/>
      <c r="C21" s="122"/>
      <c r="D21" s="121" t="s">
        <v>69</v>
      </c>
      <c r="E21" s="123">
        <f aca="true" t="shared" si="2" ref="E21:E26">+G21</f>
        <v>58356.042440000005</v>
      </c>
      <c r="F21" s="389" t="s">
        <v>21</v>
      </c>
      <c r="G21" s="123">
        <f t="shared" si="1"/>
        <v>58356.042440000005</v>
      </c>
      <c r="H21" s="123">
        <v>14721</v>
      </c>
      <c r="I21" s="123">
        <v>14619.845540000002</v>
      </c>
      <c r="J21" s="286">
        <v>28346.1969</v>
      </c>
      <c r="K21" s="286">
        <v>669</v>
      </c>
      <c r="L21" s="385"/>
      <c r="M21" s="121"/>
      <c r="N21" s="358"/>
      <c r="O21" s="326"/>
      <c r="P21" s="358"/>
      <c r="Q21" s="335"/>
      <c r="S21" s="330"/>
    </row>
    <row r="22" spans="2:21" s="124" customFormat="1" ht="15.75" customHeight="1">
      <c r="B22" s="386"/>
      <c r="C22" s="121"/>
      <c r="D22" s="121" t="s">
        <v>70</v>
      </c>
      <c r="E22" s="123">
        <f t="shared" si="2"/>
        <v>47710.710184480005</v>
      </c>
      <c r="F22" s="389" t="s">
        <v>21</v>
      </c>
      <c r="G22" s="123">
        <f t="shared" si="1"/>
        <v>47710.710184480005</v>
      </c>
      <c r="H22" s="123">
        <v>22765</v>
      </c>
      <c r="I22" s="123">
        <v>8.06</v>
      </c>
      <c r="J22" s="286">
        <v>24883.65018448</v>
      </c>
      <c r="K22" s="286">
        <v>54</v>
      </c>
      <c r="L22" s="387"/>
      <c r="M22" s="121"/>
      <c r="N22" s="358"/>
      <c r="O22" s="333"/>
      <c r="P22" s="333"/>
      <c r="Q22" s="333"/>
      <c r="R22" s="334"/>
      <c r="S22" s="333"/>
      <c r="T22" s="333"/>
      <c r="U22" s="333"/>
    </row>
    <row r="23" spans="2:19" ht="15" customHeight="1">
      <c r="B23" s="382"/>
      <c r="C23" s="122"/>
      <c r="D23" s="121" t="s">
        <v>71</v>
      </c>
      <c r="E23" s="123">
        <f t="shared" si="2"/>
        <v>12753.172</v>
      </c>
      <c r="F23" s="389" t="s">
        <v>21</v>
      </c>
      <c r="G23" s="123">
        <f t="shared" si="1"/>
        <v>12753.172</v>
      </c>
      <c r="H23" s="123">
        <v>9543</v>
      </c>
      <c r="I23" s="123" t="s">
        <v>21</v>
      </c>
      <c r="J23" s="123">
        <v>3210.172</v>
      </c>
      <c r="K23" s="286" t="s">
        <v>21</v>
      </c>
      <c r="L23" s="385"/>
      <c r="M23" s="121"/>
      <c r="N23" s="358"/>
      <c r="O23" s="333"/>
      <c r="P23" s="358"/>
      <c r="Q23" s="335"/>
      <c r="R23" s="334"/>
      <c r="S23" s="330"/>
    </row>
    <row r="24" spans="2:21" s="124" customFormat="1" ht="15" customHeight="1">
      <c r="B24" s="386"/>
      <c r="C24" s="121"/>
      <c r="D24" s="121" t="s">
        <v>72</v>
      </c>
      <c r="E24" s="123">
        <f t="shared" si="2"/>
        <v>22</v>
      </c>
      <c r="F24" s="389" t="s">
        <v>21</v>
      </c>
      <c r="G24" s="123">
        <f t="shared" si="1"/>
        <v>22</v>
      </c>
      <c r="H24" s="123">
        <v>22</v>
      </c>
      <c r="I24" s="123" t="s">
        <v>21</v>
      </c>
      <c r="J24" s="123" t="s">
        <v>21</v>
      </c>
      <c r="K24" s="286" t="s">
        <v>21</v>
      </c>
      <c r="L24" s="387"/>
      <c r="M24" s="121"/>
      <c r="N24" s="358"/>
      <c r="O24" s="333"/>
      <c r="P24" s="333"/>
      <c r="Q24" s="333"/>
      <c r="R24" s="334"/>
      <c r="S24" s="333"/>
      <c r="T24" s="333"/>
      <c r="U24" s="333"/>
    </row>
    <row r="25" spans="2:19" ht="15" customHeight="1">
      <c r="B25" s="382"/>
      <c r="C25" s="122"/>
      <c r="D25" s="121" t="s">
        <v>73</v>
      </c>
      <c r="E25" s="123">
        <f t="shared" si="2"/>
        <v>138</v>
      </c>
      <c r="F25" s="389" t="s">
        <v>21</v>
      </c>
      <c r="G25" s="123">
        <f t="shared" si="1"/>
        <v>138</v>
      </c>
      <c r="H25" s="123">
        <v>138</v>
      </c>
      <c r="I25" s="123" t="s">
        <v>21</v>
      </c>
      <c r="J25" s="123" t="s">
        <v>21</v>
      </c>
      <c r="K25" s="286">
        <v>0</v>
      </c>
      <c r="L25" s="385"/>
      <c r="M25" s="121"/>
      <c r="N25" s="358"/>
      <c r="O25" s="333"/>
      <c r="P25" s="358"/>
      <c r="Q25" s="335"/>
      <c r="R25" s="334"/>
      <c r="S25" s="330"/>
    </row>
    <row r="26" spans="2:19" ht="15" customHeight="1">
      <c r="B26" s="382"/>
      <c r="C26" s="122"/>
      <c r="D26" s="121" t="s">
        <v>74</v>
      </c>
      <c r="E26" s="123">
        <f t="shared" si="2"/>
        <v>4442.1619</v>
      </c>
      <c r="F26" s="389" t="s">
        <v>21</v>
      </c>
      <c r="G26" s="123">
        <f t="shared" si="1"/>
        <v>4442.1619</v>
      </c>
      <c r="H26" s="123">
        <v>3643</v>
      </c>
      <c r="I26" s="123" t="s">
        <v>21</v>
      </c>
      <c r="J26" s="123">
        <v>783.1619</v>
      </c>
      <c r="K26" s="286">
        <v>16</v>
      </c>
      <c r="L26" s="385"/>
      <c r="M26" s="121"/>
      <c r="N26" s="358"/>
      <c r="O26" s="333"/>
      <c r="P26" s="333"/>
      <c r="Q26" s="333"/>
      <c r="R26" s="334"/>
      <c r="S26" s="330"/>
    </row>
    <row r="27" spans="2:19" ht="7.5" customHeight="1">
      <c r="B27" s="382"/>
      <c r="C27" s="122"/>
      <c r="D27" s="121"/>
      <c r="E27" s="123"/>
      <c r="F27" s="389"/>
      <c r="G27" s="123"/>
      <c r="H27" s="123"/>
      <c r="I27" s="123"/>
      <c r="J27" s="123"/>
      <c r="K27" s="123"/>
      <c r="L27" s="385"/>
      <c r="M27" s="121"/>
      <c r="N27" s="330"/>
      <c r="O27" s="333"/>
      <c r="P27" s="333"/>
      <c r="Q27" s="333"/>
      <c r="R27" s="334"/>
      <c r="S27" s="330"/>
    </row>
    <row r="28" spans="2:21" s="116" customFormat="1" ht="15">
      <c r="B28" s="379"/>
      <c r="C28" s="111" t="s">
        <v>75</v>
      </c>
      <c r="D28" s="111" t="s">
        <v>161</v>
      </c>
      <c r="E28" s="380">
        <f aca="true" t="shared" si="3" ref="E28:K28">SUM(E30:E39)</f>
        <v>96111.08805499999</v>
      </c>
      <c r="F28" s="380">
        <f>SUM(F30:F39)</f>
        <v>0</v>
      </c>
      <c r="G28" s="380">
        <f t="shared" si="3"/>
        <v>96111.08805499999</v>
      </c>
      <c r="H28" s="380">
        <f>SUM(H30:H39)</f>
        <v>56910.715899999974</v>
      </c>
      <c r="I28" s="380">
        <f>SUM(I30:I39)</f>
        <v>0</v>
      </c>
      <c r="J28" s="380">
        <f t="shared" si="3"/>
        <v>38501.372155</v>
      </c>
      <c r="K28" s="380">
        <f t="shared" si="3"/>
        <v>699</v>
      </c>
      <c r="L28" s="381"/>
      <c r="M28" s="111"/>
      <c r="N28" s="358"/>
      <c r="O28" s="328"/>
      <c r="P28" s="328"/>
      <c r="Q28" s="328"/>
      <c r="R28" s="319"/>
      <c r="S28" s="328"/>
      <c r="T28" s="328"/>
      <c r="U28" s="328"/>
    </row>
    <row r="29" spans="2:19" ht="9.75" customHeight="1">
      <c r="B29" s="382"/>
      <c r="C29" s="122"/>
      <c r="D29" s="121"/>
      <c r="E29" s="123"/>
      <c r="F29" s="389"/>
      <c r="G29" s="123"/>
      <c r="H29" s="123"/>
      <c r="I29" s="123"/>
      <c r="J29" s="123"/>
      <c r="K29" s="123"/>
      <c r="L29" s="385"/>
      <c r="M29" s="121"/>
      <c r="N29" s="330"/>
      <c r="O29" s="333"/>
      <c r="P29" s="393"/>
      <c r="Q29" s="335"/>
      <c r="R29" s="334"/>
      <c r="S29" s="330"/>
    </row>
    <row r="30" spans="2:19" ht="15" customHeight="1">
      <c r="B30" s="382"/>
      <c r="C30" s="122"/>
      <c r="D30" s="121" t="s">
        <v>76</v>
      </c>
      <c r="E30" s="123">
        <f>+G30</f>
        <v>5615</v>
      </c>
      <c r="F30" s="389" t="s">
        <v>21</v>
      </c>
      <c r="G30" s="123">
        <f aca="true" t="shared" si="4" ref="G30:G39">SUM(H30:K30)</f>
        <v>5615</v>
      </c>
      <c r="H30" s="123">
        <v>5615</v>
      </c>
      <c r="I30" s="123" t="s">
        <v>21</v>
      </c>
      <c r="J30" s="123" t="s">
        <v>21</v>
      </c>
      <c r="K30" s="123">
        <v>0</v>
      </c>
      <c r="L30" s="385"/>
      <c r="M30" s="121"/>
      <c r="N30" s="358"/>
      <c r="O30" s="333"/>
      <c r="P30" s="358"/>
      <c r="Q30" s="335"/>
      <c r="R30" s="334"/>
      <c r="S30" s="330"/>
    </row>
    <row r="31" spans="2:19" ht="15" customHeight="1">
      <c r="B31" s="382"/>
      <c r="C31" s="122"/>
      <c r="D31" s="121" t="s">
        <v>77</v>
      </c>
      <c r="E31" s="123">
        <f>+G31</f>
        <v>3177</v>
      </c>
      <c r="F31" s="389" t="s">
        <v>21</v>
      </c>
      <c r="G31" s="123">
        <f t="shared" si="4"/>
        <v>3177</v>
      </c>
      <c r="H31" s="123">
        <v>3177</v>
      </c>
      <c r="I31" s="123" t="s">
        <v>21</v>
      </c>
      <c r="J31" s="123" t="s">
        <v>21</v>
      </c>
      <c r="K31" s="286" t="s">
        <v>21</v>
      </c>
      <c r="L31" s="385"/>
      <c r="M31" s="121"/>
      <c r="N31" s="358"/>
      <c r="O31" s="333"/>
      <c r="P31" s="332"/>
      <c r="Q31" s="388"/>
      <c r="R31" s="334"/>
      <c r="S31" s="330"/>
    </row>
    <row r="32" spans="2:19" ht="15" customHeight="1">
      <c r="B32" s="382"/>
      <c r="C32" s="122"/>
      <c r="D32" s="121" t="s">
        <v>78</v>
      </c>
      <c r="E32" s="123">
        <f aca="true" t="shared" si="5" ref="E32:E39">+G32</f>
        <v>1319</v>
      </c>
      <c r="F32" s="389" t="s">
        <v>21</v>
      </c>
      <c r="G32" s="123">
        <f t="shared" si="4"/>
        <v>1319</v>
      </c>
      <c r="H32" s="123">
        <v>1319</v>
      </c>
      <c r="I32" s="123" t="s">
        <v>21</v>
      </c>
      <c r="J32" s="123" t="s">
        <v>21</v>
      </c>
      <c r="K32" s="286">
        <v>0</v>
      </c>
      <c r="L32" s="385"/>
      <c r="M32" s="121"/>
      <c r="N32" s="358"/>
      <c r="O32" s="333"/>
      <c r="P32" s="358"/>
      <c r="Q32" s="335"/>
      <c r="R32" s="334"/>
      <c r="S32" s="330"/>
    </row>
    <row r="33" spans="2:19" ht="15" customHeight="1">
      <c r="B33" s="382"/>
      <c r="C33" s="122"/>
      <c r="D33" s="121" t="s">
        <v>79</v>
      </c>
      <c r="E33" s="123">
        <f t="shared" si="5"/>
        <v>154.78</v>
      </c>
      <c r="F33" s="389" t="s">
        <v>21</v>
      </c>
      <c r="G33" s="123">
        <f t="shared" si="4"/>
        <v>154.78</v>
      </c>
      <c r="H33" s="123">
        <v>152</v>
      </c>
      <c r="I33" s="123" t="s">
        <v>21</v>
      </c>
      <c r="J33" s="123">
        <v>2.7800000000000002</v>
      </c>
      <c r="K33" s="286" t="s">
        <v>21</v>
      </c>
      <c r="L33" s="385"/>
      <c r="M33" s="121"/>
      <c r="N33" s="358"/>
      <c r="O33" s="333"/>
      <c r="P33" s="333"/>
      <c r="Q33" s="333"/>
      <c r="R33" s="334"/>
      <c r="S33" s="330"/>
    </row>
    <row r="34" spans="2:19" ht="14.25">
      <c r="B34" s="382"/>
      <c r="C34" s="122"/>
      <c r="D34" s="121" t="s">
        <v>80</v>
      </c>
      <c r="E34" s="123">
        <f t="shared" si="5"/>
        <v>76415.56615499998</v>
      </c>
      <c r="F34" s="389" t="s">
        <v>21</v>
      </c>
      <c r="G34" s="123">
        <f t="shared" si="4"/>
        <v>76415.56615499998</v>
      </c>
      <c r="H34" s="123">
        <v>41430.989999999976</v>
      </c>
      <c r="I34" s="123" t="s">
        <v>21</v>
      </c>
      <c r="J34" s="286">
        <v>34876.576154999995</v>
      </c>
      <c r="K34" s="286">
        <v>108</v>
      </c>
      <c r="L34" s="385"/>
      <c r="M34" s="121"/>
      <c r="N34" s="358"/>
      <c r="O34" s="333"/>
      <c r="P34" s="333"/>
      <c r="Q34" s="333"/>
      <c r="R34" s="334"/>
      <c r="S34" s="330"/>
    </row>
    <row r="35" spans="2:18" ht="15" customHeight="1">
      <c r="B35" s="382"/>
      <c r="C35" s="122"/>
      <c r="D35" s="121" t="s">
        <v>81</v>
      </c>
      <c r="E35" s="123">
        <f t="shared" si="5"/>
        <v>4</v>
      </c>
      <c r="F35" s="389" t="s">
        <v>21</v>
      </c>
      <c r="G35" s="123">
        <f t="shared" si="4"/>
        <v>4</v>
      </c>
      <c r="H35" s="123">
        <v>4</v>
      </c>
      <c r="I35" s="123" t="s">
        <v>21</v>
      </c>
      <c r="J35" s="123" t="s">
        <v>21</v>
      </c>
      <c r="K35" s="286" t="s">
        <v>21</v>
      </c>
      <c r="L35" s="385"/>
      <c r="M35" s="121"/>
      <c r="N35" s="358"/>
      <c r="O35" s="333"/>
      <c r="P35" s="358"/>
      <c r="Q35" s="335"/>
      <c r="R35" s="334"/>
    </row>
    <row r="36" spans="2:18" ht="15" customHeight="1">
      <c r="B36" s="382"/>
      <c r="C36" s="122"/>
      <c r="D36" s="121" t="s">
        <v>82</v>
      </c>
      <c r="E36" s="123">
        <f t="shared" si="5"/>
        <v>136</v>
      </c>
      <c r="F36" s="389" t="s">
        <v>21</v>
      </c>
      <c r="G36" s="123">
        <f>SUM(H36:K36)</f>
        <v>136</v>
      </c>
      <c r="H36" s="123">
        <v>136</v>
      </c>
      <c r="I36" s="123" t="s">
        <v>21</v>
      </c>
      <c r="J36" s="123" t="s">
        <v>21</v>
      </c>
      <c r="K36" s="286" t="s">
        <v>21</v>
      </c>
      <c r="L36" s="385"/>
      <c r="M36" s="121"/>
      <c r="N36" s="358"/>
      <c r="O36" s="333"/>
      <c r="P36" s="332"/>
      <c r="Q36" s="388"/>
      <c r="R36" s="334"/>
    </row>
    <row r="37" spans="2:18" ht="15" customHeight="1">
      <c r="B37" s="382"/>
      <c r="C37" s="122"/>
      <c r="D37" s="121" t="s">
        <v>256</v>
      </c>
      <c r="E37" s="123">
        <f t="shared" si="5"/>
        <v>3622</v>
      </c>
      <c r="F37" s="389" t="s">
        <v>21</v>
      </c>
      <c r="G37" s="123">
        <f t="shared" si="4"/>
        <v>3622</v>
      </c>
      <c r="H37" s="123" t="s">
        <v>21</v>
      </c>
      <c r="I37" s="123" t="s">
        <v>21</v>
      </c>
      <c r="J37" s="286">
        <v>3622</v>
      </c>
      <c r="K37" s="286" t="s">
        <v>21</v>
      </c>
      <c r="L37" s="385"/>
      <c r="M37" s="121"/>
      <c r="N37" s="358"/>
      <c r="O37" s="333"/>
      <c r="P37" s="358"/>
      <c r="Q37" s="391"/>
      <c r="R37" s="334"/>
    </row>
    <row r="38" spans="2:18" ht="15" customHeight="1">
      <c r="B38" s="382"/>
      <c r="C38" s="122"/>
      <c r="D38" s="121" t="s">
        <v>83</v>
      </c>
      <c r="E38" s="123">
        <f t="shared" si="5"/>
        <v>1839.6089000000009</v>
      </c>
      <c r="F38" s="389" t="s">
        <v>21</v>
      </c>
      <c r="G38" s="123">
        <f t="shared" si="4"/>
        <v>1839.6089000000009</v>
      </c>
      <c r="H38" s="123">
        <v>1404.6089000000009</v>
      </c>
      <c r="I38" s="123" t="s">
        <v>21</v>
      </c>
      <c r="J38" s="123" t="s">
        <v>21</v>
      </c>
      <c r="K38" s="286">
        <v>435</v>
      </c>
      <c r="L38" s="385"/>
      <c r="M38" s="121"/>
      <c r="N38" s="358"/>
      <c r="O38" s="333"/>
      <c r="P38" s="358"/>
      <c r="Q38" s="372"/>
      <c r="R38" s="334"/>
    </row>
    <row r="39" spans="2:19" ht="15" customHeight="1">
      <c r="B39" s="382"/>
      <c r="C39" s="122"/>
      <c r="D39" s="121" t="s">
        <v>84</v>
      </c>
      <c r="E39" s="123">
        <f t="shared" si="5"/>
        <v>3828.133000000001</v>
      </c>
      <c r="F39" s="389" t="s">
        <v>21</v>
      </c>
      <c r="G39" s="123">
        <f t="shared" si="4"/>
        <v>3828.133000000001</v>
      </c>
      <c r="H39" s="123">
        <v>3672.117000000001</v>
      </c>
      <c r="I39" s="123" t="s">
        <v>21</v>
      </c>
      <c r="J39" s="123">
        <v>0.016</v>
      </c>
      <c r="K39" s="286">
        <v>156</v>
      </c>
      <c r="L39" s="385"/>
      <c r="M39" s="121"/>
      <c r="N39" s="358"/>
      <c r="O39" s="333"/>
      <c r="P39" s="358"/>
      <c r="Q39" s="335"/>
      <c r="R39" s="334"/>
      <c r="S39" s="313"/>
    </row>
    <row r="40" spans="2:18" ht="6" customHeight="1">
      <c r="B40" s="382"/>
      <c r="C40" s="122"/>
      <c r="D40" s="121"/>
      <c r="E40" s="123"/>
      <c r="F40" s="389"/>
      <c r="G40" s="123"/>
      <c r="H40" s="123"/>
      <c r="I40" s="123"/>
      <c r="J40" s="123"/>
      <c r="K40" s="123"/>
      <c r="L40" s="385"/>
      <c r="M40" s="121"/>
      <c r="N40" s="358"/>
      <c r="O40" s="333"/>
      <c r="P40" s="358"/>
      <c r="Q40" s="335"/>
      <c r="R40" s="334"/>
    </row>
    <row r="41" spans="2:21" s="116" customFormat="1" ht="15">
      <c r="B41" s="379" t="s">
        <v>0</v>
      </c>
      <c r="C41" s="111" t="s">
        <v>85</v>
      </c>
      <c r="D41" s="111" t="s">
        <v>162</v>
      </c>
      <c r="E41" s="380">
        <f aca="true" t="shared" si="6" ref="E41:K41">SUM(E44:E50)</f>
        <v>43980.80386999997</v>
      </c>
      <c r="F41" s="380">
        <f>SUM(F43:F50)</f>
        <v>0</v>
      </c>
      <c r="G41" s="380">
        <f t="shared" si="6"/>
        <v>43980.80386999997</v>
      </c>
      <c r="H41" s="380">
        <f t="shared" si="6"/>
        <v>39973.727869999966</v>
      </c>
      <c r="I41" s="380">
        <f>SUM(I44:I50)</f>
        <v>1330.5473</v>
      </c>
      <c r="J41" s="380">
        <f t="shared" si="6"/>
        <v>928.5287000000001</v>
      </c>
      <c r="K41" s="380">
        <f t="shared" si="6"/>
        <v>1748</v>
      </c>
      <c r="L41" s="381"/>
      <c r="M41" s="111"/>
      <c r="N41" s="358"/>
      <c r="O41" s="328"/>
      <c r="P41" s="358"/>
      <c r="Q41" s="335"/>
      <c r="R41" s="319"/>
      <c r="S41" s="319"/>
      <c r="T41" s="328"/>
      <c r="U41" s="328"/>
    </row>
    <row r="42" spans="2:21" ht="15">
      <c r="B42" s="382"/>
      <c r="C42" s="122"/>
      <c r="D42" s="111" t="s">
        <v>135</v>
      </c>
      <c r="E42" s="123"/>
      <c r="F42" s="389"/>
      <c r="G42" s="123"/>
      <c r="H42" s="123"/>
      <c r="I42" s="123"/>
      <c r="J42" s="123"/>
      <c r="K42" s="123"/>
      <c r="L42" s="385"/>
      <c r="M42" s="121"/>
      <c r="N42" s="358"/>
      <c r="O42" s="333"/>
      <c r="P42" s="358"/>
      <c r="Q42" s="335"/>
      <c r="R42" s="334"/>
      <c r="T42" s="331"/>
      <c r="U42" s="331"/>
    </row>
    <row r="43" spans="2:21" ht="6" customHeight="1">
      <c r="B43" s="382"/>
      <c r="C43" s="122"/>
      <c r="D43" s="111"/>
      <c r="E43" s="123"/>
      <c r="F43" s="389" t="s">
        <v>21</v>
      </c>
      <c r="G43" s="123"/>
      <c r="H43" s="123"/>
      <c r="I43" s="123"/>
      <c r="J43" s="123"/>
      <c r="K43" s="123" t="s">
        <v>21</v>
      </c>
      <c r="L43" s="385"/>
      <c r="M43" s="121"/>
      <c r="N43" s="358"/>
      <c r="O43" s="333"/>
      <c r="P43" s="333"/>
      <c r="Q43" s="333"/>
      <c r="R43" s="334"/>
      <c r="T43" s="331"/>
      <c r="U43" s="331"/>
    </row>
    <row r="44" spans="2:21" ht="15" customHeight="1">
      <c r="B44" s="382"/>
      <c r="C44" s="122"/>
      <c r="D44" s="121" t="s">
        <v>86</v>
      </c>
      <c r="E44" s="123">
        <f aca="true" t="shared" si="7" ref="E44:E50">+G44</f>
        <v>1934.1223999999997</v>
      </c>
      <c r="F44" s="389" t="s">
        <v>21</v>
      </c>
      <c r="G44" s="123">
        <f aca="true" t="shared" si="8" ref="G44:G50">SUM(H44:K44)</f>
        <v>1934.1223999999997</v>
      </c>
      <c r="H44" s="123">
        <v>1934.1223999999997</v>
      </c>
      <c r="I44" s="123" t="s">
        <v>21</v>
      </c>
      <c r="J44" s="123" t="s">
        <v>21</v>
      </c>
      <c r="K44" s="123" t="s">
        <v>21</v>
      </c>
      <c r="L44" s="385"/>
      <c r="M44" s="121"/>
      <c r="N44" s="358"/>
      <c r="O44" s="333"/>
      <c r="P44" s="333"/>
      <c r="Q44" s="333"/>
      <c r="R44" s="334"/>
      <c r="T44" s="331"/>
      <c r="U44" s="331"/>
    </row>
    <row r="45" spans="2:21" ht="15" customHeight="1">
      <c r="B45" s="382"/>
      <c r="C45" s="122"/>
      <c r="D45" s="121" t="s">
        <v>87</v>
      </c>
      <c r="E45" s="123">
        <f t="shared" si="7"/>
        <v>234.87505000000002</v>
      </c>
      <c r="F45" s="389" t="s">
        <v>21</v>
      </c>
      <c r="G45" s="123">
        <f t="shared" si="8"/>
        <v>234.87505000000002</v>
      </c>
      <c r="H45" s="123">
        <v>232.33505000000002</v>
      </c>
      <c r="I45" s="123" t="s">
        <v>21</v>
      </c>
      <c r="J45" s="123">
        <v>2.54</v>
      </c>
      <c r="K45" s="123" t="s">
        <v>21</v>
      </c>
      <c r="L45" s="385"/>
      <c r="M45" s="121"/>
      <c r="N45" s="358"/>
      <c r="O45" s="333"/>
      <c r="P45" s="358"/>
      <c r="Q45" s="335"/>
      <c r="R45" s="334"/>
      <c r="T45" s="331"/>
      <c r="U45" s="331"/>
    </row>
    <row r="46" spans="2:21" ht="15" customHeight="1">
      <c r="B46" s="382"/>
      <c r="C46" s="122"/>
      <c r="D46" s="121" t="s">
        <v>88</v>
      </c>
      <c r="E46" s="123">
        <f t="shared" si="7"/>
        <v>25190.48299999997</v>
      </c>
      <c r="F46" s="389" t="s">
        <v>21</v>
      </c>
      <c r="G46" s="123">
        <f t="shared" si="8"/>
        <v>25190.48299999997</v>
      </c>
      <c r="H46" s="123">
        <v>23326.309999999972</v>
      </c>
      <c r="I46" s="392">
        <v>5.663</v>
      </c>
      <c r="J46" s="286">
        <v>110.51</v>
      </c>
      <c r="K46" s="123">
        <v>1748</v>
      </c>
      <c r="L46" s="385"/>
      <c r="M46" s="121"/>
      <c r="N46" s="358"/>
      <c r="O46" s="333"/>
      <c r="P46" s="393"/>
      <c r="Q46" s="388"/>
      <c r="R46" s="334"/>
      <c r="T46" s="331"/>
      <c r="U46" s="331"/>
    </row>
    <row r="47" spans="2:21" ht="15" customHeight="1">
      <c r="B47" s="382"/>
      <c r="C47" s="122"/>
      <c r="D47" s="121" t="s">
        <v>89</v>
      </c>
      <c r="E47" s="123">
        <f t="shared" si="7"/>
        <v>7236.577199999997</v>
      </c>
      <c r="F47" s="389" t="s">
        <v>21</v>
      </c>
      <c r="G47" s="123">
        <f t="shared" si="8"/>
        <v>7236.577199999997</v>
      </c>
      <c r="H47" s="123">
        <v>7229.613199999997</v>
      </c>
      <c r="I47" s="123" t="s">
        <v>21</v>
      </c>
      <c r="J47" s="123">
        <v>6.964</v>
      </c>
      <c r="K47" s="123" t="s">
        <v>21</v>
      </c>
      <c r="L47" s="385"/>
      <c r="M47" s="121"/>
      <c r="N47" s="358"/>
      <c r="O47" s="333"/>
      <c r="P47" s="393"/>
      <c r="Q47" s="388"/>
      <c r="R47" s="334"/>
      <c r="T47" s="331"/>
      <c r="U47" s="331"/>
    </row>
    <row r="48" spans="2:21" ht="15" customHeight="1">
      <c r="B48" s="382"/>
      <c r="C48" s="122"/>
      <c r="D48" s="121" t="s">
        <v>90</v>
      </c>
      <c r="E48" s="123">
        <f t="shared" si="7"/>
        <v>3754.6543000000024</v>
      </c>
      <c r="F48" s="389" t="s">
        <v>21</v>
      </c>
      <c r="G48" s="123">
        <f t="shared" si="8"/>
        <v>3754.6543000000024</v>
      </c>
      <c r="H48" s="123">
        <v>2426.9100000000026</v>
      </c>
      <c r="I48" s="286">
        <v>1324.8843</v>
      </c>
      <c r="J48" s="123">
        <v>2.86</v>
      </c>
      <c r="K48" s="123" t="s">
        <v>21</v>
      </c>
      <c r="L48" s="385"/>
      <c r="M48" s="121"/>
      <c r="N48" s="358"/>
      <c r="O48" s="333"/>
      <c r="P48" s="358"/>
      <c r="Q48" s="372"/>
      <c r="R48" s="334"/>
      <c r="T48" s="331"/>
      <c r="U48" s="331"/>
    </row>
    <row r="49" spans="2:18" ht="15" customHeight="1">
      <c r="B49" s="382"/>
      <c r="C49" s="122"/>
      <c r="D49" s="121" t="s">
        <v>91</v>
      </c>
      <c r="E49" s="123">
        <f t="shared" si="7"/>
        <v>5430.999920000005</v>
      </c>
      <c r="F49" s="389" t="s">
        <v>21</v>
      </c>
      <c r="G49" s="123">
        <f t="shared" si="8"/>
        <v>5430.999920000005</v>
      </c>
      <c r="H49" s="123">
        <v>4625.345220000005</v>
      </c>
      <c r="I49" s="286" t="s">
        <v>21</v>
      </c>
      <c r="J49" s="286">
        <v>805.6547</v>
      </c>
      <c r="K49" s="123" t="s">
        <v>21</v>
      </c>
      <c r="L49" s="385"/>
      <c r="M49" s="121"/>
      <c r="N49" s="358"/>
      <c r="O49" s="333"/>
      <c r="P49" s="332"/>
      <c r="Q49" s="388"/>
      <c r="R49" s="334"/>
    </row>
    <row r="50" spans="2:17" ht="15" customHeight="1">
      <c r="B50" s="382"/>
      <c r="C50" s="122"/>
      <c r="D50" s="121" t="s">
        <v>92</v>
      </c>
      <c r="E50" s="123">
        <f t="shared" si="7"/>
        <v>199.09199999999998</v>
      </c>
      <c r="F50" s="389" t="s">
        <v>21</v>
      </c>
      <c r="G50" s="123">
        <f t="shared" si="8"/>
        <v>199.09199999999998</v>
      </c>
      <c r="H50" s="123">
        <v>199.09199999999998</v>
      </c>
      <c r="I50" s="123" t="s">
        <v>21</v>
      </c>
      <c r="J50" s="123" t="s">
        <v>21</v>
      </c>
      <c r="K50" s="123" t="s">
        <v>21</v>
      </c>
      <c r="L50" s="385"/>
      <c r="M50" s="121"/>
      <c r="N50" s="358"/>
      <c r="O50" s="330"/>
      <c r="P50" s="330"/>
      <c r="Q50" s="330"/>
    </row>
    <row r="51" spans="2:17" ht="8.25" customHeight="1">
      <c r="B51" s="382"/>
      <c r="C51" s="122"/>
      <c r="D51" s="122"/>
      <c r="E51" s="123"/>
      <c r="F51" s="384"/>
      <c r="G51" s="123"/>
      <c r="H51" s="123"/>
      <c r="I51" s="123"/>
      <c r="J51" s="123"/>
      <c r="K51" s="123"/>
      <c r="L51" s="385"/>
      <c r="M51" s="121"/>
      <c r="N51" s="358"/>
      <c r="O51" s="330"/>
      <c r="P51" s="330"/>
      <c r="Q51" s="330"/>
    </row>
    <row r="52" spans="2:21" s="116" customFormat="1" ht="15">
      <c r="B52" s="379"/>
      <c r="C52" s="111" t="s">
        <v>93</v>
      </c>
      <c r="D52" s="111" t="s">
        <v>163</v>
      </c>
      <c r="E52" s="380">
        <f>+F52+G52</f>
        <v>70033.22850000001</v>
      </c>
      <c r="F52" s="380">
        <v>389.63949999999994</v>
      </c>
      <c r="G52" s="380">
        <f>SUM(H52:K52)</f>
        <v>69643.589</v>
      </c>
      <c r="H52" s="380">
        <v>67781</v>
      </c>
      <c r="I52" s="380">
        <v>383.58899999999994</v>
      </c>
      <c r="J52" s="380">
        <v>1479</v>
      </c>
      <c r="K52" s="380">
        <v>0</v>
      </c>
      <c r="L52" s="381"/>
      <c r="M52" s="111"/>
      <c r="N52" s="358"/>
      <c r="O52" s="328"/>
      <c r="P52" s="328"/>
      <c r="Q52" s="328"/>
      <c r="R52" s="319"/>
      <c r="S52" s="319"/>
      <c r="T52" s="328"/>
      <c r="U52" s="328"/>
    </row>
    <row r="53" spans="2:21" s="107" customFormat="1" ht="7.5" customHeight="1">
      <c r="B53" s="364"/>
      <c r="C53" s="365"/>
      <c r="D53" s="365"/>
      <c r="E53" s="373"/>
      <c r="F53" s="394"/>
      <c r="G53" s="373"/>
      <c r="H53" s="373"/>
      <c r="I53" s="373"/>
      <c r="J53" s="373"/>
      <c r="K53" s="380"/>
      <c r="L53" s="374"/>
      <c r="M53" s="111"/>
      <c r="N53" s="358"/>
      <c r="O53" s="320"/>
      <c r="P53" s="320"/>
      <c r="Q53" s="320"/>
      <c r="R53" s="321"/>
      <c r="S53" s="321"/>
      <c r="T53" s="320"/>
      <c r="U53" s="320"/>
    </row>
    <row r="54" spans="2:21" s="112" customFormat="1" ht="15">
      <c r="B54" s="395"/>
      <c r="C54" s="396" t="s">
        <v>94</v>
      </c>
      <c r="D54" s="396" t="s">
        <v>164</v>
      </c>
      <c r="E54" s="397">
        <f>+E57+E64</f>
        <v>449306.3944200001</v>
      </c>
      <c r="F54" s="397">
        <f>+F57+F64</f>
        <v>0</v>
      </c>
      <c r="G54" s="397">
        <f>+G57+G64</f>
        <v>449306.3944200001</v>
      </c>
      <c r="H54" s="397">
        <f>+H57+H64</f>
        <v>60420.5818</v>
      </c>
      <c r="I54" s="397">
        <f>SUM(I57,I64)</f>
        <v>1050.12438</v>
      </c>
      <c r="J54" s="397">
        <f>SUM(J57,J64)</f>
        <v>387835.68824000005</v>
      </c>
      <c r="K54" s="397">
        <f>+K64+K57</f>
        <v>0</v>
      </c>
      <c r="L54" s="398"/>
      <c r="M54" s="113"/>
      <c r="N54" s="358"/>
      <c r="O54" s="324"/>
      <c r="P54" s="399"/>
      <c r="Q54" s="333"/>
      <c r="R54" s="323"/>
      <c r="S54" s="323"/>
      <c r="T54" s="324"/>
      <c r="U54" s="324"/>
    </row>
    <row r="55" spans="2:17" ht="7.5" customHeight="1">
      <c r="B55" s="382"/>
      <c r="C55" s="122"/>
      <c r="D55" s="122"/>
      <c r="E55" s="383"/>
      <c r="F55" s="384"/>
      <c r="G55" s="383"/>
      <c r="H55" s="383"/>
      <c r="I55" s="383"/>
      <c r="J55" s="383"/>
      <c r="K55" s="123"/>
      <c r="L55" s="385"/>
      <c r="M55" s="121"/>
      <c r="N55" s="358"/>
      <c r="O55" s="330"/>
      <c r="P55" s="330"/>
      <c r="Q55" s="330"/>
    </row>
    <row r="56" spans="2:17" ht="7.5" customHeight="1">
      <c r="B56" s="382"/>
      <c r="C56" s="122"/>
      <c r="D56" s="122"/>
      <c r="E56" s="383"/>
      <c r="F56" s="384"/>
      <c r="G56" s="383"/>
      <c r="H56" s="383"/>
      <c r="I56" s="383"/>
      <c r="J56" s="383"/>
      <c r="K56" s="123"/>
      <c r="L56" s="385"/>
      <c r="M56" s="121"/>
      <c r="N56" s="329"/>
      <c r="O56" s="330"/>
      <c r="P56" s="326"/>
      <c r="Q56" s="341"/>
    </row>
    <row r="57" spans="2:21" s="107" customFormat="1" ht="15">
      <c r="B57" s="364"/>
      <c r="C57" s="365"/>
      <c r="D57" s="365" t="s">
        <v>165</v>
      </c>
      <c r="E57" s="373">
        <f>SUM(F57:G57)</f>
        <v>41162.873</v>
      </c>
      <c r="F57" s="380">
        <f aca="true" t="shared" si="9" ref="F57:K57">SUM(F59:F62)</f>
        <v>0</v>
      </c>
      <c r="G57" s="380">
        <f t="shared" si="9"/>
        <v>41162.873</v>
      </c>
      <c r="H57" s="380">
        <f t="shared" si="9"/>
        <v>9656.872999999998</v>
      </c>
      <c r="I57" s="380">
        <f t="shared" si="9"/>
        <v>0</v>
      </c>
      <c r="J57" s="380">
        <f t="shared" si="9"/>
        <v>31506</v>
      </c>
      <c r="K57" s="380">
        <f t="shared" si="9"/>
        <v>0</v>
      </c>
      <c r="L57" s="374"/>
      <c r="M57" s="111"/>
      <c r="N57" s="329"/>
      <c r="O57" s="320"/>
      <c r="P57" s="332"/>
      <c r="Q57" s="388"/>
      <c r="R57" s="321"/>
      <c r="S57" s="321"/>
      <c r="T57" s="320"/>
      <c r="U57" s="320"/>
    </row>
    <row r="58" spans="2:17" ht="7.5" customHeight="1">
      <c r="B58" s="382"/>
      <c r="C58" s="122"/>
      <c r="D58" s="122"/>
      <c r="E58" s="383"/>
      <c r="F58" s="384"/>
      <c r="G58" s="383"/>
      <c r="H58" s="123"/>
      <c r="I58" s="383"/>
      <c r="J58" s="383"/>
      <c r="K58" s="123"/>
      <c r="L58" s="385"/>
      <c r="M58" s="121"/>
      <c r="O58" s="330"/>
      <c r="P58" s="326"/>
      <c r="Q58" s="341"/>
    </row>
    <row r="59" spans="2:17" ht="15" customHeight="1">
      <c r="B59" s="382"/>
      <c r="C59" s="122"/>
      <c r="D59" s="121" t="s">
        <v>95</v>
      </c>
      <c r="E59" s="123">
        <f>+G59</f>
        <v>1640.063</v>
      </c>
      <c r="F59" s="389" t="s">
        <v>21</v>
      </c>
      <c r="G59" s="123">
        <f>SUM(H59:K59)</f>
        <v>1640.063</v>
      </c>
      <c r="H59" s="123">
        <v>1640.063</v>
      </c>
      <c r="I59" s="400" t="s">
        <v>21</v>
      </c>
      <c r="J59" s="123" t="s">
        <v>21</v>
      </c>
      <c r="K59" s="123" t="s">
        <v>21</v>
      </c>
      <c r="L59" s="385"/>
      <c r="M59" s="121"/>
      <c r="O59" s="330"/>
      <c r="P59" s="358"/>
      <c r="Q59" s="335"/>
    </row>
    <row r="60" spans="2:17" ht="15" customHeight="1" hidden="1">
      <c r="B60" s="382"/>
      <c r="C60" s="122"/>
      <c r="D60" s="121"/>
      <c r="E60" s="123" t="e">
        <f>+F60+G60</f>
        <v>#VALUE!</v>
      </c>
      <c r="F60" s="389" t="s">
        <v>21</v>
      </c>
      <c r="G60" s="123" t="s">
        <v>21</v>
      </c>
      <c r="H60" s="123"/>
      <c r="I60" s="400" t="s">
        <v>21</v>
      </c>
      <c r="J60" s="123" t="s">
        <v>21</v>
      </c>
      <c r="K60" s="123" t="s">
        <v>21</v>
      </c>
      <c r="L60" s="385"/>
      <c r="M60" s="121"/>
      <c r="O60" s="330"/>
      <c r="P60" s="330"/>
      <c r="Q60" s="330"/>
    </row>
    <row r="61" spans="2:17" ht="15" customHeight="1">
      <c r="B61" s="382"/>
      <c r="C61" s="122"/>
      <c r="D61" s="121" t="s">
        <v>96</v>
      </c>
      <c r="E61" s="123">
        <f>+G61</f>
        <v>39153.06</v>
      </c>
      <c r="F61" s="389" t="s">
        <v>21</v>
      </c>
      <c r="G61" s="123">
        <f>SUM(H61:K61)</f>
        <v>39153.06</v>
      </c>
      <c r="H61" s="123">
        <v>7647.059999999998</v>
      </c>
      <c r="I61" s="123" t="s">
        <v>21</v>
      </c>
      <c r="J61" s="123">
        <f>31496+10</f>
        <v>31506</v>
      </c>
      <c r="K61" s="123" t="s">
        <v>21</v>
      </c>
      <c r="L61" s="385"/>
      <c r="M61" s="121"/>
      <c r="O61" s="330"/>
      <c r="P61" s="330"/>
      <c r="Q61" s="330"/>
    </row>
    <row r="62" spans="2:17" ht="15" customHeight="1">
      <c r="B62" s="382"/>
      <c r="C62" s="122"/>
      <c r="D62" s="121" t="s">
        <v>243</v>
      </c>
      <c r="E62" s="123">
        <f>+G62</f>
        <v>369.75</v>
      </c>
      <c r="F62" s="389" t="s">
        <v>21</v>
      </c>
      <c r="G62" s="123">
        <f>SUM(H62:K62)</f>
        <v>369.75</v>
      </c>
      <c r="H62" s="123">
        <v>369.75</v>
      </c>
      <c r="I62" s="400" t="s">
        <v>21</v>
      </c>
      <c r="J62" s="123" t="s">
        <v>21</v>
      </c>
      <c r="K62" s="123" t="s">
        <v>21</v>
      </c>
      <c r="L62" s="385"/>
      <c r="M62" s="121"/>
      <c r="O62" s="358"/>
      <c r="P62" s="335"/>
      <c r="Q62" s="330"/>
    </row>
    <row r="63" spans="2:17" ht="6.75" customHeight="1">
      <c r="B63" s="382"/>
      <c r="C63" s="122"/>
      <c r="D63" s="121"/>
      <c r="E63" s="123"/>
      <c r="F63" s="389"/>
      <c r="G63" s="123"/>
      <c r="H63" s="123"/>
      <c r="I63" s="123"/>
      <c r="J63" s="123"/>
      <c r="K63" s="123"/>
      <c r="L63" s="385"/>
      <c r="M63" s="121"/>
      <c r="P63" s="330"/>
      <c r="Q63" s="330"/>
    </row>
    <row r="64" spans="2:21" s="107" customFormat="1" ht="15">
      <c r="B64" s="364"/>
      <c r="C64" s="365"/>
      <c r="D64" s="111" t="s">
        <v>169</v>
      </c>
      <c r="E64" s="380">
        <f aca="true" t="shared" si="10" ref="E64:K64">SUM(E66:E73)</f>
        <v>408143.52142000006</v>
      </c>
      <c r="F64" s="380">
        <f t="shared" si="10"/>
        <v>0</v>
      </c>
      <c r="G64" s="380">
        <f>SUM(G66:G73)</f>
        <v>408143.52142000006</v>
      </c>
      <c r="H64" s="380">
        <f>SUM(H66:H73)</f>
        <v>50763.7088</v>
      </c>
      <c r="I64" s="380">
        <f t="shared" si="10"/>
        <v>1050.12438</v>
      </c>
      <c r="J64" s="380">
        <f>SUM(J66:J73)</f>
        <v>356329.68824000005</v>
      </c>
      <c r="K64" s="380">
        <f t="shared" si="10"/>
        <v>0</v>
      </c>
      <c r="L64" s="374"/>
      <c r="M64" s="111"/>
      <c r="N64" s="319"/>
      <c r="O64" s="331"/>
      <c r="P64" s="336"/>
      <c r="Q64" s="313"/>
      <c r="R64" s="321"/>
      <c r="S64" s="321"/>
      <c r="T64" s="320"/>
      <c r="U64" s="320"/>
    </row>
    <row r="65" spans="2:16" ht="6.75" customHeight="1">
      <c r="B65" s="382"/>
      <c r="C65" s="122"/>
      <c r="D65" s="121"/>
      <c r="E65" s="123"/>
      <c r="F65" s="389"/>
      <c r="G65" s="123"/>
      <c r="H65" s="123"/>
      <c r="I65" s="123"/>
      <c r="J65" s="123"/>
      <c r="K65" s="123"/>
      <c r="L65" s="385"/>
      <c r="M65" s="121"/>
      <c r="O65" s="330"/>
      <c r="P65" s="330"/>
    </row>
    <row r="66" spans="2:17" ht="15" customHeight="1">
      <c r="B66" s="382"/>
      <c r="C66" s="122"/>
      <c r="D66" s="121" t="s">
        <v>98</v>
      </c>
      <c r="E66" s="123">
        <f>+G66</f>
        <v>2103.6194999999993</v>
      </c>
      <c r="F66" s="389" t="s">
        <v>21</v>
      </c>
      <c r="G66" s="123">
        <f aca="true" t="shared" si="11" ref="G66:G73">SUM(H66:K66)</f>
        <v>2103.6194999999993</v>
      </c>
      <c r="H66" s="123">
        <v>2094.1729999999993</v>
      </c>
      <c r="I66" s="400">
        <v>7.91</v>
      </c>
      <c r="J66" s="286">
        <v>1.5365</v>
      </c>
      <c r="K66" s="123" t="s">
        <v>21</v>
      </c>
      <c r="L66" s="385"/>
      <c r="M66" s="121"/>
      <c r="O66" s="330"/>
      <c r="P66" s="326"/>
      <c r="Q66" s="341"/>
    </row>
    <row r="67" spans="2:17" ht="15" customHeight="1">
      <c r="B67" s="382"/>
      <c r="C67" s="122"/>
      <c r="D67" s="121" t="s">
        <v>99</v>
      </c>
      <c r="E67" s="123">
        <f aca="true" t="shared" si="12" ref="E67:E73">+G67</f>
        <v>1323.6909999999998</v>
      </c>
      <c r="F67" s="389" t="s">
        <v>21</v>
      </c>
      <c r="G67" s="123">
        <f t="shared" si="11"/>
        <v>1323.6909999999998</v>
      </c>
      <c r="H67" s="123">
        <v>1323.6909999999998</v>
      </c>
      <c r="I67" s="400" t="s">
        <v>21</v>
      </c>
      <c r="J67" s="123" t="s">
        <v>21</v>
      </c>
      <c r="K67" s="123" t="s">
        <v>21</v>
      </c>
      <c r="L67" s="385"/>
      <c r="M67" s="121"/>
      <c r="N67" s="335"/>
      <c r="O67" s="336"/>
      <c r="P67" s="336"/>
      <c r="Q67" s="341"/>
    </row>
    <row r="68" spans="2:17" ht="15" customHeight="1">
      <c r="B68" s="382"/>
      <c r="C68" s="122"/>
      <c r="D68" s="121" t="s">
        <v>100</v>
      </c>
      <c r="E68" s="123">
        <f t="shared" si="12"/>
        <v>38081.3662</v>
      </c>
      <c r="F68" s="389" t="s">
        <v>21</v>
      </c>
      <c r="G68" s="123">
        <f t="shared" si="11"/>
        <v>38081.3662</v>
      </c>
      <c r="H68" s="123">
        <v>1551.3661999999993</v>
      </c>
      <c r="I68" s="123" t="s">
        <v>21</v>
      </c>
      <c r="J68" s="286">
        <f>31060+5470</f>
        <v>36530</v>
      </c>
      <c r="K68" s="123" t="s">
        <v>21</v>
      </c>
      <c r="L68" s="385"/>
      <c r="M68" s="121"/>
      <c r="N68" s="337"/>
      <c r="P68" s="332"/>
      <c r="Q68" s="388"/>
    </row>
    <row r="69" spans="2:17" ht="15" customHeight="1">
      <c r="B69" s="382"/>
      <c r="C69" s="122"/>
      <c r="D69" s="121" t="s">
        <v>257</v>
      </c>
      <c r="E69" s="123">
        <f t="shared" si="12"/>
        <v>163.06064999999998</v>
      </c>
      <c r="F69" s="389" t="s">
        <v>21</v>
      </c>
      <c r="G69" s="123">
        <f t="shared" si="11"/>
        <v>163.06064999999998</v>
      </c>
      <c r="H69" s="123">
        <v>38.649999999999984</v>
      </c>
      <c r="I69" s="123">
        <v>73.16099999999999</v>
      </c>
      <c r="J69" s="286">
        <v>51.24965</v>
      </c>
      <c r="K69" s="123" t="s">
        <v>21</v>
      </c>
      <c r="L69" s="385"/>
      <c r="M69" s="121"/>
      <c r="P69" s="326"/>
      <c r="Q69" s="341"/>
    </row>
    <row r="70" spans="2:17" ht="15" customHeight="1">
      <c r="B70" s="382"/>
      <c r="C70" s="122"/>
      <c r="D70" s="121" t="s">
        <v>101</v>
      </c>
      <c r="E70" s="123">
        <f t="shared" si="12"/>
        <v>285.52799999999985</v>
      </c>
      <c r="F70" s="389" t="s">
        <v>21</v>
      </c>
      <c r="G70" s="123">
        <f t="shared" si="11"/>
        <v>285.52799999999985</v>
      </c>
      <c r="H70" s="123">
        <v>285.52799999999985</v>
      </c>
      <c r="I70" s="123" t="s">
        <v>21</v>
      </c>
      <c r="J70" s="286" t="s">
        <v>21</v>
      </c>
      <c r="K70" s="123" t="s">
        <v>21</v>
      </c>
      <c r="L70" s="385"/>
      <c r="M70" s="121"/>
      <c r="P70" s="393"/>
      <c r="Q70" s="335"/>
    </row>
    <row r="71" spans="2:17" ht="14.25" customHeight="1">
      <c r="B71" s="382"/>
      <c r="C71" s="122"/>
      <c r="D71" s="121" t="s">
        <v>102</v>
      </c>
      <c r="E71" s="123">
        <f t="shared" si="12"/>
        <v>600.2439999999999</v>
      </c>
      <c r="F71" s="389" t="s">
        <v>21</v>
      </c>
      <c r="G71" s="123">
        <f t="shared" si="11"/>
        <v>600.2439999999999</v>
      </c>
      <c r="H71" s="123">
        <v>489.83</v>
      </c>
      <c r="I71" s="400" t="s">
        <v>21</v>
      </c>
      <c r="J71" s="123">
        <v>110.41399999999999</v>
      </c>
      <c r="K71" s="123" t="s">
        <v>21</v>
      </c>
      <c r="L71" s="385"/>
      <c r="M71" s="121"/>
      <c r="P71" s="336"/>
      <c r="Q71" s="313"/>
    </row>
    <row r="72" spans="2:17" ht="15" customHeight="1">
      <c r="B72" s="382"/>
      <c r="C72" s="122"/>
      <c r="D72" s="121" t="s">
        <v>103</v>
      </c>
      <c r="E72" s="123">
        <f t="shared" si="12"/>
        <v>362231.63217000006</v>
      </c>
      <c r="F72" s="389" t="s">
        <v>21</v>
      </c>
      <c r="G72" s="123">
        <f t="shared" si="11"/>
        <v>362231.63217000006</v>
      </c>
      <c r="H72" s="123">
        <v>42154.4107</v>
      </c>
      <c r="I72" s="123">
        <v>930.73338</v>
      </c>
      <c r="J72" s="123">
        <v>319146.48809000006</v>
      </c>
      <c r="K72" s="123" t="s">
        <v>21</v>
      </c>
      <c r="L72" s="401"/>
      <c r="M72" s="123"/>
      <c r="P72" s="326"/>
      <c r="Q72" s="341"/>
    </row>
    <row r="73" spans="2:17" ht="15" customHeight="1">
      <c r="B73" s="382"/>
      <c r="C73" s="122"/>
      <c r="D73" s="122" t="s">
        <v>140</v>
      </c>
      <c r="E73" s="123">
        <f t="shared" si="12"/>
        <v>3354.3799000000004</v>
      </c>
      <c r="F73" s="384" t="s">
        <v>21</v>
      </c>
      <c r="G73" s="383">
        <f t="shared" si="11"/>
        <v>3354.3799000000004</v>
      </c>
      <c r="H73" s="123">
        <v>2826.0599</v>
      </c>
      <c r="I73" s="123">
        <v>38.32</v>
      </c>
      <c r="J73" s="123">
        <v>490</v>
      </c>
      <c r="K73" s="123" t="s">
        <v>21</v>
      </c>
      <c r="L73" s="385"/>
      <c r="M73" s="121"/>
      <c r="N73" s="335"/>
      <c r="P73" s="326"/>
      <c r="Q73" s="341"/>
    </row>
    <row r="74" spans="2:13" ht="5.25" customHeight="1">
      <c r="B74" s="382"/>
      <c r="C74" s="122"/>
      <c r="D74" s="122"/>
      <c r="E74" s="383"/>
      <c r="F74" s="384"/>
      <c r="G74" s="383"/>
      <c r="H74" s="383"/>
      <c r="I74" s="383"/>
      <c r="J74" s="383"/>
      <c r="K74" s="383" t="s">
        <v>21</v>
      </c>
      <c r="L74" s="385"/>
      <c r="M74" s="121"/>
    </row>
    <row r="75" spans="2:13" ht="5.25" customHeight="1">
      <c r="B75" s="382"/>
      <c r="C75" s="122"/>
      <c r="D75" s="122"/>
      <c r="E75" s="383"/>
      <c r="F75" s="384" t="s">
        <v>21</v>
      </c>
      <c r="G75" s="383"/>
      <c r="H75" s="383"/>
      <c r="I75" s="383"/>
      <c r="J75" s="383"/>
      <c r="K75" s="383" t="s">
        <v>21</v>
      </c>
      <c r="L75" s="385"/>
      <c r="M75" s="121"/>
    </row>
    <row r="76" spans="2:21" s="112" customFormat="1" ht="15">
      <c r="B76" s="395"/>
      <c r="C76" s="396" t="s">
        <v>139</v>
      </c>
      <c r="D76" s="396" t="s">
        <v>166</v>
      </c>
      <c r="E76" s="397">
        <f>+E78+E83+E85+E81</f>
        <v>40788.691399999996</v>
      </c>
      <c r="F76" s="397">
        <f aca="true" t="shared" si="13" ref="F76:K76">SUM(F78:F85)</f>
        <v>0</v>
      </c>
      <c r="G76" s="397">
        <f t="shared" si="13"/>
        <v>40788.691399999996</v>
      </c>
      <c r="H76" s="397">
        <f t="shared" si="13"/>
        <v>3133.5034</v>
      </c>
      <c r="I76" s="397">
        <f t="shared" si="13"/>
        <v>0</v>
      </c>
      <c r="J76" s="397">
        <f t="shared" si="13"/>
        <v>488.1389999999999</v>
      </c>
      <c r="K76" s="397">
        <f t="shared" si="13"/>
        <v>37167.049</v>
      </c>
      <c r="L76" s="398"/>
      <c r="M76" s="113"/>
      <c r="N76" s="338"/>
      <c r="O76" s="323"/>
      <c r="P76" s="363"/>
      <c r="Q76" s="335"/>
      <c r="R76" s="323"/>
      <c r="S76" s="323"/>
      <c r="T76" s="324"/>
      <c r="U76" s="324"/>
    </row>
    <row r="77" spans="2:14" ht="6.75" customHeight="1">
      <c r="B77" s="382"/>
      <c r="C77" s="122"/>
      <c r="D77" s="122"/>
      <c r="E77" s="383"/>
      <c r="F77" s="384"/>
      <c r="G77" s="383"/>
      <c r="H77" s="383"/>
      <c r="I77" s="383"/>
      <c r="J77" s="383"/>
      <c r="K77" s="383"/>
      <c r="L77" s="385"/>
      <c r="M77" s="121"/>
      <c r="N77" s="333"/>
    </row>
    <row r="78" spans="2:21" s="107" customFormat="1" ht="15">
      <c r="B78" s="364"/>
      <c r="C78" s="365"/>
      <c r="D78" s="365" t="s">
        <v>242</v>
      </c>
      <c r="E78" s="123">
        <f>+G78</f>
        <v>2184.4294</v>
      </c>
      <c r="F78" s="384" t="s">
        <v>21</v>
      </c>
      <c r="G78" s="383">
        <f>SUM(H78:K78)</f>
        <v>2184.4294</v>
      </c>
      <c r="H78" s="383">
        <v>1696.2904000000003</v>
      </c>
      <c r="I78" s="383" t="s">
        <v>21</v>
      </c>
      <c r="J78" s="123">
        <v>488.1389999999999</v>
      </c>
      <c r="K78" s="123" t="s">
        <v>21</v>
      </c>
      <c r="L78" s="374"/>
      <c r="M78" s="111"/>
      <c r="N78" s="328"/>
      <c r="O78" s="321"/>
      <c r="P78" s="358"/>
      <c r="Q78" s="335"/>
      <c r="R78" s="321"/>
      <c r="S78" s="321"/>
      <c r="T78" s="320"/>
      <c r="U78" s="320"/>
    </row>
    <row r="79" spans="2:21" s="107" customFormat="1" ht="15" hidden="1">
      <c r="B79" s="364"/>
      <c r="C79" s="365"/>
      <c r="D79" s="365"/>
      <c r="E79" s="123">
        <f>+F79+G79</f>
        <v>0</v>
      </c>
      <c r="F79" s="394"/>
      <c r="G79" s="383"/>
      <c r="H79" s="383"/>
      <c r="I79" s="383" t="s">
        <v>21</v>
      </c>
      <c r="J79" s="373" t="s">
        <v>21</v>
      </c>
      <c r="K79" s="123" t="s">
        <v>21</v>
      </c>
      <c r="L79" s="374"/>
      <c r="M79" s="111"/>
      <c r="N79" s="328"/>
      <c r="O79" s="321"/>
      <c r="P79" s="358"/>
      <c r="Q79" s="335"/>
      <c r="R79" s="321"/>
      <c r="S79" s="321"/>
      <c r="T79" s="320"/>
      <c r="U79" s="320"/>
    </row>
    <row r="80" spans="2:21" s="107" customFormat="1" ht="9" customHeight="1">
      <c r="B80" s="364"/>
      <c r="C80" s="365"/>
      <c r="D80" s="365"/>
      <c r="E80" s="123"/>
      <c r="F80" s="394"/>
      <c r="G80" s="383"/>
      <c r="H80" s="383"/>
      <c r="I80" s="383"/>
      <c r="J80" s="373"/>
      <c r="K80" s="123"/>
      <c r="L80" s="374"/>
      <c r="M80" s="111"/>
      <c r="N80" s="328"/>
      <c r="O80" s="321"/>
      <c r="P80" s="326"/>
      <c r="Q80" s="341"/>
      <c r="R80" s="321"/>
      <c r="S80" s="321"/>
      <c r="T80" s="320"/>
      <c r="U80" s="320"/>
    </row>
    <row r="81" spans="2:21" s="107" customFormat="1" ht="15">
      <c r="B81" s="364"/>
      <c r="C81" s="365"/>
      <c r="D81" s="365" t="s">
        <v>271</v>
      </c>
      <c r="E81" s="123">
        <f>+G81</f>
        <v>11.678</v>
      </c>
      <c r="F81" s="384" t="s">
        <v>21</v>
      </c>
      <c r="G81" s="383">
        <f>SUM(H81:K81)</f>
        <v>11.678</v>
      </c>
      <c r="H81" s="383">
        <v>11.678</v>
      </c>
      <c r="I81" s="383" t="s">
        <v>21</v>
      </c>
      <c r="J81" s="383" t="s">
        <v>21</v>
      </c>
      <c r="K81" s="383" t="s">
        <v>21</v>
      </c>
      <c r="L81" s="374"/>
      <c r="M81" s="111"/>
      <c r="N81" s="328"/>
      <c r="O81" s="321"/>
      <c r="P81" s="331"/>
      <c r="Q81" s="331"/>
      <c r="R81" s="321"/>
      <c r="S81" s="321"/>
      <c r="T81" s="320"/>
      <c r="U81" s="320"/>
    </row>
    <row r="82" spans="2:21" s="107" customFormat="1" ht="9" customHeight="1">
      <c r="B82" s="364"/>
      <c r="C82" s="365"/>
      <c r="D82" s="365"/>
      <c r="E82" s="380"/>
      <c r="F82" s="394"/>
      <c r="G82" s="383"/>
      <c r="H82" s="383"/>
      <c r="I82" s="383"/>
      <c r="J82" s="373"/>
      <c r="K82" s="373"/>
      <c r="L82" s="374"/>
      <c r="M82" s="111"/>
      <c r="N82" s="319"/>
      <c r="O82" s="321"/>
      <c r="P82" s="331"/>
      <c r="Q82" s="331"/>
      <c r="R82" s="321"/>
      <c r="S82" s="321"/>
      <c r="T82" s="320"/>
      <c r="U82" s="320"/>
    </row>
    <row r="83" spans="2:21" s="107" customFormat="1" ht="15">
      <c r="B83" s="364"/>
      <c r="C83" s="365"/>
      <c r="D83" s="365" t="s">
        <v>167</v>
      </c>
      <c r="E83" s="123">
        <f>SUM(F83:K83)</f>
        <v>0</v>
      </c>
      <c r="F83" s="384" t="s">
        <v>21</v>
      </c>
      <c r="G83" s="383">
        <f>SUM(H83:K83)</f>
        <v>0</v>
      </c>
      <c r="H83" s="383" t="s">
        <v>21</v>
      </c>
      <c r="I83" s="383" t="s">
        <v>21</v>
      </c>
      <c r="J83" s="383" t="s">
        <v>21</v>
      </c>
      <c r="K83" s="383" t="s">
        <v>21</v>
      </c>
      <c r="L83" s="374"/>
      <c r="M83" s="111"/>
      <c r="N83" s="319"/>
      <c r="O83" s="321"/>
      <c r="P83" s="331"/>
      <c r="Q83" s="331"/>
      <c r="R83" s="321"/>
      <c r="S83" s="321"/>
      <c r="T83" s="320"/>
      <c r="U83" s="320"/>
    </row>
    <row r="84" spans="2:21" s="107" customFormat="1" ht="9" customHeight="1">
      <c r="B84" s="364"/>
      <c r="C84" s="365"/>
      <c r="D84" s="365"/>
      <c r="E84" s="380"/>
      <c r="F84" s="394"/>
      <c r="G84" s="383"/>
      <c r="H84" s="383"/>
      <c r="I84" s="383"/>
      <c r="J84" s="373"/>
      <c r="K84" s="373"/>
      <c r="L84" s="374"/>
      <c r="M84" s="111"/>
      <c r="N84" s="328"/>
      <c r="O84" s="321"/>
      <c r="P84" s="331"/>
      <c r="Q84" s="331"/>
      <c r="R84" s="321"/>
      <c r="S84" s="321"/>
      <c r="T84" s="320"/>
      <c r="U84" s="320"/>
    </row>
    <row r="85" spans="2:21" s="107" customFormat="1" ht="15">
      <c r="B85" s="364"/>
      <c r="C85" s="365"/>
      <c r="D85" s="365" t="s">
        <v>168</v>
      </c>
      <c r="E85" s="123">
        <f>+G85</f>
        <v>38592.583999999995</v>
      </c>
      <c r="F85" s="384" t="s">
        <v>21</v>
      </c>
      <c r="G85" s="383">
        <f>SUM(H85:K85)</f>
        <v>38592.583999999995</v>
      </c>
      <c r="H85" s="402">
        <v>1425.5349999999996</v>
      </c>
      <c r="I85" s="383" t="s">
        <v>21</v>
      </c>
      <c r="J85" s="383" t="s">
        <v>21</v>
      </c>
      <c r="K85" s="123">
        <v>37167.049</v>
      </c>
      <c r="L85" s="374"/>
      <c r="M85" s="111"/>
      <c r="N85" s="328"/>
      <c r="O85" s="321"/>
      <c r="P85" s="331"/>
      <c r="Q85" s="331"/>
      <c r="R85" s="321"/>
      <c r="S85" s="321"/>
      <c r="T85" s="320"/>
      <c r="U85" s="320"/>
    </row>
    <row r="86" spans="2:14" ht="6" customHeight="1">
      <c r="B86" s="403"/>
      <c r="C86" s="404"/>
      <c r="D86" s="404"/>
      <c r="E86" s="404"/>
      <c r="F86" s="405"/>
      <c r="G86" s="404"/>
      <c r="H86" s="404"/>
      <c r="I86" s="404"/>
      <c r="J86" s="404"/>
      <c r="K86" s="404"/>
      <c r="L86" s="406"/>
      <c r="M86" s="121"/>
      <c r="N86" s="333"/>
    </row>
    <row r="87" spans="2:14" ht="3" customHeight="1">
      <c r="B87" s="122"/>
      <c r="C87" s="122"/>
      <c r="D87" s="122"/>
      <c r="E87" s="122"/>
      <c r="F87" s="407"/>
      <c r="G87" s="122"/>
      <c r="H87" s="122"/>
      <c r="I87" s="122"/>
      <c r="J87" s="122"/>
      <c r="K87" s="122"/>
      <c r="L87" s="122"/>
      <c r="M87" s="121"/>
      <c r="N87" s="333"/>
    </row>
    <row r="88" ht="14.25">
      <c r="C88" s="117" t="s">
        <v>273</v>
      </c>
    </row>
    <row r="89" spans="3:10" ht="14.25">
      <c r="C89" s="117" t="s">
        <v>241</v>
      </c>
      <c r="J89" s="443"/>
    </row>
    <row r="90" spans="4:21" s="409" customFormat="1" ht="14.25">
      <c r="D90" s="117" t="s">
        <v>262</v>
      </c>
      <c r="F90" s="410"/>
      <c r="K90" s="117"/>
      <c r="M90" s="411"/>
      <c r="N90" s="334"/>
      <c r="O90" s="331"/>
      <c r="P90" s="331"/>
      <c r="Q90" s="331"/>
      <c r="R90" s="331"/>
      <c r="S90" s="331"/>
      <c r="T90" s="330"/>
      <c r="U90" s="330"/>
    </row>
    <row r="91" spans="3:14" ht="20.25" customHeight="1">
      <c r="C91" s="117" t="s">
        <v>148</v>
      </c>
      <c r="N91" s="191"/>
    </row>
    <row r="92" spans="4:19" s="330" customFormat="1" ht="14.25">
      <c r="D92" s="341"/>
      <c r="E92" s="341"/>
      <c r="F92" s="341"/>
      <c r="K92" s="117"/>
      <c r="M92" s="333"/>
      <c r="N92" s="191"/>
      <c r="O92" s="331"/>
      <c r="P92" s="331"/>
      <c r="Q92" s="331"/>
      <c r="R92" s="331"/>
      <c r="S92" s="331"/>
    </row>
    <row r="93" spans="4:19" s="330" customFormat="1" ht="14.25">
      <c r="D93" s="453" t="s">
        <v>64</v>
      </c>
      <c r="E93" s="454">
        <f>+E16</f>
        <v>6194843.110599996</v>
      </c>
      <c r="F93" s="341"/>
      <c r="G93" s="341"/>
      <c r="K93" s="117"/>
      <c r="M93" s="333"/>
      <c r="N93" s="191"/>
      <c r="O93" s="331"/>
      <c r="P93" s="331"/>
      <c r="Q93" s="331"/>
      <c r="R93" s="331"/>
      <c r="S93" s="331"/>
    </row>
    <row r="94" spans="4:19" s="330" customFormat="1" ht="14.25">
      <c r="D94" s="453" t="s">
        <v>103</v>
      </c>
      <c r="E94" s="454">
        <f>+E72</f>
        <v>362231.63217000006</v>
      </c>
      <c r="F94" s="341"/>
      <c r="K94" s="117"/>
      <c r="M94" s="333"/>
      <c r="N94" s="191"/>
      <c r="O94" s="331"/>
      <c r="P94" s="331"/>
      <c r="Q94" s="331"/>
      <c r="R94" s="331"/>
      <c r="S94" s="331"/>
    </row>
    <row r="95" spans="4:19" s="330" customFormat="1" ht="14.25">
      <c r="D95" s="453" t="s">
        <v>68</v>
      </c>
      <c r="E95" s="454">
        <f>+E20</f>
        <v>72002.05319</v>
      </c>
      <c r="F95" s="341"/>
      <c r="K95" s="117"/>
      <c r="M95" s="333"/>
      <c r="N95" s="334"/>
      <c r="O95" s="331"/>
      <c r="P95" s="331"/>
      <c r="Q95" s="331"/>
      <c r="R95" s="331"/>
      <c r="S95" s="331"/>
    </row>
    <row r="96" spans="4:19" s="330" customFormat="1" ht="14.25">
      <c r="D96" s="455" t="s">
        <v>97</v>
      </c>
      <c r="E96" s="454">
        <f>+E10-SUM(E93:E95)</f>
        <v>580489.4929394796</v>
      </c>
      <c r="F96" s="341"/>
      <c r="K96" s="117"/>
      <c r="M96" s="333"/>
      <c r="N96" s="334"/>
      <c r="O96" s="331"/>
      <c r="P96" s="331"/>
      <c r="Q96" s="331"/>
      <c r="R96" s="331"/>
      <c r="S96" s="331"/>
    </row>
    <row r="97" spans="4:19" s="330" customFormat="1" ht="14.25">
      <c r="D97" s="455"/>
      <c r="E97" s="456">
        <f>SUM(E93:E96)</f>
        <v>7209566.288899476</v>
      </c>
      <c r="F97" s="341"/>
      <c r="K97" s="117"/>
      <c r="M97" s="333"/>
      <c r="N97" s="334"/>
      <c r="O97" s="331"/>
      <c r="P97" s="331"/>
      <c r="Q97" s="331"/>
      <c r="R97" s="331"/>
      <c r="S97" s="331"/>
    </row>
    <row r="98" spans="4:19" s="330" customFormat="1" ht="14.25">
      <c r="D98" s="455"/>
      <c r="E98" s="455"/>
      <c r="F98" s="341"/>
      <c r="K98" s="117"/>
      <c r="M98" s="333"/>
      <c r="N98" s="334"/>
      <c r="O98" s="331"/>
      <c r="P98" s="331"/>
      <c r="Q98" s="331"/>
      <c r="R98" s="331"/>
      <c r="S98" s="331"/>
    </row>
    <row r="99" spans="4:19" s="330" customFormat="1" ht="14.25">
      <c r="D99" s="456" t="s">
        <v>149</v>
      </c>
      <c r="E99" s="456">
        <f>+G10</f>
        <v>1136239.99029948</v>
      </c>
      <c r="F99" s="341"/>
      <c r="K99" s="117"/>
      <c r="M99" s="333"/>
      <c r="N99" s="334"/>
      <c r="O99" s="331"/>
      <c r="P99" s="331"/>
      <c r="Q99" s="331"/>
      <c r="R99" s="331"/>
      <c r="S99" s="331"/>
    </row>
    <row r="100" spans="4:19" s="330" customFormat="1" ht="14.25">
      <c r="D100" s="456" t="s">
        <v>153</v>
      </c>
      <c r="E100" s="456">
        <f>+F10</f>
        <v>6073326.298599996</v>
      </c>
      <c r="F100" s="341"/>
      <c r="K100" s="117"/>
      <c r="M100" s="333"/>
      <c r="N100" s="334"/>
      <c r="O100" s="331"/>
      <c r="P100" s="331"/>
      <c r="Q100" s="331"/>
      <c r="R100" s="331"/>
      <c r="S100" s="331"/>
    </row>
    <row r="101" spans="4:19" s="330" customFormat="1" ht="14.25">
      <c r="D101" s="456"/>
      <c r="E101" s="456">
        <f>SUM(E99:E100)</f>
        <v>7209566.288899476</v>
      </c>
      <c r="F101" s="341"/>
      <c r="K101" s="117"/>
      <c r="M101" s="333"/>
      <c r="N101" s="334"/>
      <c r="O101" s="331"/>
      <c r="P101" s="331"/>
      <c r="Q101" s="331"/>
      <c r="R101" s="331"/>
      <c r="S101" s="331"/>
    </row>
    <row r="102" spans="4:19" s="330" customFormat="1" ht="14.25">
      <c r="D102" s="455"/>
      <c r="E102" s="454"/>
      <c r="F102" s="341"/>
      <c r="K102" s="117"/>
      <c r="M102" s="333"/>
      <c r="N102" s="334"/>
      <c r="O102" s="331"/>
      <c r="P102" s="331"/>
      <c r="Q102" s="331"/>
      <c r="R102" s="331"/>
      <c r="S102" s="331"/>
    </row>
    <row r="103" spans="6:19" s="330" customFormat="1" ht="14.25">
      <c r="F103" s="341"/>
      <c r="K103" s="117"/>
      <c r="M103" s="333"/>
      <c r="N103" s="334"/>
      <c r="O103" s="331"/>
      <c r="P103" s="331"/>
      <c r="Q103" s="331"/>
      <c r="R103" s="331"/>
      <c r="S103" s="331"/>
    </row>
    <row r="104" spans="6:19" s="330" customFormat="1" ht="14.25">
      <c r="F104" s="341"/>
      <c r="K104" s="117"/>
      <c r="M104" s="333"/>
      <c r="N104" s="334"/>
      <c r="O104" s="331"/>
      <c r="P104" s="331"/>
      <c r="Q104" s="331"/>
      <c r="R104" s="331"/>
      <c r="S104" s="331"/>
    </row>
    <row r="105" spans="6:19" s="330" customFormat="1" ht="14.25">
      <c r="F105" s="341"/>
      <c r="K105" s="117"/>
      <c r="M105" s="333"/>
      <c r="N105" s="334"/>
      <c r="O105" s="331"/>
      <c r="P105" s="331"/>
      <c r="Q105" s="331"/>
      <c r="R105" s="331"/>
      <c r="S105" s="331"/>
    </row>
    <row r="106" spans="6:19" s="330" customFormat="1" ht="14.25">
      <c r="F106" s="341"/>
      <c r="K106" s="117"/>
      <c r="M106" s="333"/>
      <c r="N106" s="334"/>
      <c r="O106" s="331"/>
      <c r="P106" s="331"/>
      <c r="Q106" s="331"/>
      <c r="R106" s="331"/>
      <c r="S106" s="331"/>
    </row>
    <row r="107" spans="6:19" s="330" customFormat="1" ht="14.25">
      <c r="F107" s="341"/>
      <c r="K107" s="117"/>
      <c r="M107" s="333"/>
      <c r="N107" s="334"/>
      <c r="O107" s="331"/>
      <c r="P107" s="331"/>
      <c r="Q107" s="331"/>
      <c r="R107" s="331"/>
      <c r="S107" s="331"/>
    </row>
    <row r="108" spans="6:19" s="330" customFormat="1" ht="14.25">
      <c r="F108" s="341"/>
      <c r="K108" s="117"/>
      <c r="M108" s="333"/>
      <c r="N108" s="334"/>
      <c r="O108" s="331"/>
      <c r="P108" s="331"/>
      <c r="Q108" s="331"/>
      <c r="R108" s="331"/>
      <c r="S108" s="331"/>
    </row>
    <row r="109" spans="6:19" s="330" customFormat="1" ht="14.25">
      <c r="F109" s="341"/>
      <c r="K109" s="117"/>
      <c r="M109" s="333"/>
      <c r="N109" s="334"/>
      <c r="O109" s="331"/>
      <c r="P109" s="331"/>
      <c r="Q109" s="331"/>
      <c r="R109" s="331"/>
      <c r="S109" s="331"/>
    </row>
    <row r="110" spans="6:19" s="330" customFormat="1" ht="14.25">
      <c r="F110" s="341"/>
      <c r="K110" s="117"/>
      <c r="M110" s="333"/>
      <c r="N110" s="334"/>
      <c r="O110" s="331"/>
      <c r="P110" s="331"/>
      <c r="Q110" s="331"/>
      <c r="R110" s="331"/>
      <c r="S110" s="331"/>
    </row>
    <row r="111" spans="6:19" s="330" customFormat="1" ht="14.25">
      <c r="F111" s="341"/>
      <c r="K111" s="117"/>
      <c r="M111" s="333"/>
      <c r="N111" s="334"/>
      <c r="O111" s="331"/>
      <c r="P111" s="331"/>
      <c r="Q111" s="331"/>
      <c r="R111" s="331"/>
      <c r="S111" s="331"/>
    </row>
    <row r="112" spans="6:19" s="330" customFormat="1" ht="14.25">
      <c r="F112" s="341"/>
      <c r="K112" s="117"/>
      <c r="M112" s="333"/>
      <c r="N112" s="334"/>
      <c r="O112" s="331"/>
      <c r="P112" s="331"/>
      <c r="Q112" s="331"/>
      <c r="R112" s="331"/>
      <c r="S112" s="331"/>
    </row>
    <row r="113" spans="6:19" s="330" customFormat="1" ht="14.25">
      <c r="F113" s="341"/>
      <c r="K113" s="117"/>
      <c r="M113" s="333"/>
      <c r="N113" s="334"/>
      <c r="O113" s="331"/>
      <c r="P113" s="331"/>
      <c r="Q113" s="331"/>
      <c r="R113" s="331"/>
      <c r="S113" s="331"/>
    </row>
    <row r="114" spans="6:19" s="330" customFormat="1" ht="14.25">
      <c r="F114" s="341"/>
      <c r="K114" s="117"/>
      <c r="M114" s="333"/>
      <c r="N114" s="334"/>
      <c r="O114" s="331"/>
      <c r="P114" s="331"/>
      <c r="Q114" s="331"/>
      <c r="R114" s="331"/>
      <c r="S114" s="331"/>
    </row>
    <row r="115" spans="6:19" s="330" customFormat="1" ht="14.25">
      <c r="F115" s="341"/>
      <c r="K115" s="117"/>
      <c r="M115" s="333"/>
      <c r="N115" s="334"/>
      <c r="O115" s="331"/>
      <c r="P115" s="331"/>
      <c r="Q115" s="331"/>
      <c r="R115" s="331"/>
      <c r="S115" s="331"/>
    </row>
    <row r="116" spans="6:19" s="330" customFormat="1" ht="14.25">
      <c r="F116" s="341"/>
      <c r="K116" s="117"/>
      <c r="M116" s="333"/>
      <c r="N116" s="334"/>
      <c r="O116" s="331"/>
      <c r="P116" s="331"/>
      <c r="Q116" s="331"/>
      <c r="R116" s="331"/>
      <c r="S116" s="331"/>
    </row>
    <row r="117" spans="6:19" s="330" customFormat="1" ht="14.25">
      <c r="F117" s="341"/>
      <c r="K117" s="117"/>
      <c r="M117" s="333"/>
      <c r="N117" s="334"/>
      <c r="O117" s="331"/>
      <c r="P117" s="331"/>
      <c r="Q117" s="331"/>
      <c r="R117" s="331"/>
      <c r="S117" s="331"/>
    </row>
    <row r="118" spans="6:19" s="330" customFormat="1" ht="14.25">
      <c r="F118" s="341"/>
      <c r="K118" s="117"/>
      <c r="M118" s="333"/>
      <c r="N118" s="334"/>
      <c r="O118" s="331"/>
      <c r="P118" s="331"/>
      <c r="Q118" s="331"/>
      <c r="R118" s="331"/>
      <c r="S118" s="331"/>
    </row>
    <row r="119" spans="6:19" s="330" customFormat="1" ht="14.25">
      <c r="F119" s="341"/>
      <c r="K119" s="117"/>
      <c r="M119" s="333"/>
      <c r="N119" s="334"/>
      <c r="O119" s="331"/>
      <c r="P119" s="331"/>
      <c r="Q119" s="331"/>
      <c r="R119" s="331"/>
      <c r="S119" s="331"/>
    </row>
    <row r="120" spans="4:19" s="330" customFormat="1" ht="14.25">
      <c r="D120" s="457" t="s">
        <v>148</v>
      </c>
      <c r="F120" s="341"/>
      <c r="G120" s="457" t="s">
        <v>148</v>
      </c>
      <c r="K120" s="117"/>
      <c r="M120" s="333"/>
      <c r="N120" s="334"/>
      <c r="O120" s="331"/>
      <c r="P120" s="331"/>
      <c r="Q120" s="331"/>
      <c r="R120" s="331"/>
      <c r="S120" s="331"/>
    </row>
    <row r="121" spans="6:19" s="330" customFormat="1" ht="14.25">
      <c r="F121" s="341"/>
      <c r="K121" s="117"/>
      <c r="M121" s="333"/>
      <c r="N121" s="334"/>
      <c r="O121" s="331"/>
      <c r="P121" s="331"/>
      <c r="Q121" s="331"/>
      <c r="R121" s="331"/>
      <c r="S121" s="331"/>
    </row>
    <row r="122" spans="6:19" s="330" customFormat="1" ht="14.25">
      <c r="F122" s="341"/>
      <c r="K122" s="117"/>
      <c r="N122" s="334"/>
      <c r="O122" s="331"/>
      <c r="P122" s="331"/>
      <c r="Q122" s="331"/>
      <c r="R122" s="331"/>
      <c r="S122" s="331"/>
    </row>
    <row r="123" spans="6:19" s="330" customFormat="1" ht="14.25">
      <c r="F123" s="341"/>
      <c r="K123" s="117"/>
      <c r="M123" s="333"/>
      <c r="N123" s="334"/>
      <c r="O123" s="331"/>
      <c r="P123" s="331"/>
      <c r="Q123" s="331"/>
      <c r="R123" s="331"/>
      <c r="S123" s="331"/>
    </row>
    <row r="124" spans="6:19" s="330" customFormat="1" ht="14.25">
      <c r="F124" s="341"/>
      <c r="K124" s="117"/>
      <c r="M124" s="333"/>
      <c r="N124" s="334"/>
      <c r="O124" s="331"/>
      <c r="P124" s="331"/>
      <c r="Q124" s="331"/>
      <c r="R124" s="331"/>
      <c r="S124" s="331"/>
    </row>
    <row r="125" spans="6:19" s="330" customFormat="1" ht="14.25">
      <c r="F125" s="341"/>
      <c r="K125" s="117"/>
      <c r="M125" s="333"/>
      <c r="N125" s="334"/>
      <c r="O125" s="331"/>
      <c r="P125" s="331"/>
      <c r="Q125" s="331"/>
      <c r="R125" s="331"/>
      <c r="S125" s="331"/>
    </row>
    <row r="126" spans="6:19" s="330" customFormat="1" ht="14.25">
      <c r="F126" s="341"/>
      <c r="K126" s="117"/>
      <c r="M126" s="333"/>
      <c r="N126" s="334"/>
      <c r="O126" s="331"/>
      <c r="P126" s="331"/>
      <c r="Q126" s="331"/>
      <c r="R126" s="331"/>
      <c r="S126" s="331"/>
    </row>
    <row r="127" spans="6:14" s="330" customFormat="1" ht="14.25">
      <c r="F127" s="341"/>
      <c r="H127" s="341"/>
      <c r="K127" s="117"/>
      <c r="N127" s="333"/>
    </row>
    <row r="128" spans="6:19" s="330" customFormat="1" ht="14.25">
      <c r="F128" s="341"/>
      <c r="K128" s="117"/>
      <c r="M128" s="333"/>
      <c r="N128" s="334"/>
      <c r="O128" s="331"/>
      <c r="P128" s="331"/>
      <c r="Q128" s="331"/>
      <c r="R128" s="331"/>
      <c r="S128" s="331"/>
    </row>
    <row r="129" spans="6:19" s="330" customFormat="1" ht="14.25">
      <c r="F129" s="341"/>
      <c r="K129" s="117"/>
      <c r="M129" s="333"/>
      <c r="N129" s="334"/>
      <c r="O129" s="331"/>
      <c r="P129" s="331"/>
      <c r="Q129" s="331"/>
      <c r="R129" s="331"/>
      <c r="S129" s="331"/>
    </row>
    <row r="130" spans="6:19" s="330" customFormat="1" ht="14.25">
      <c r="F130" s="341"/>
      <c r="K130" s="117"/>
      <c r="M130" s="333"/>
      <c r="N130" s="334"/>
      <c r="O130" s="331"/>
      <c r="P130" s="331"/>
      <c r="Q130" s="331"/>
      <c r="R130" s="331"/>
      <c r="S130" s="331"/>
    </row>
    <row r="131" spans="6:19" s="330" customFormat="1" ht="14.25">
      <c r="F131" s="341"/>
      <c r="K131" s="117"/>
      <c r="M131" s="333"/>
      <c r="N131" s="334"/>
      <c r="O131" s="331"/>
      <c r="P131" s="331"/>
      <c r="Q131" s="331"/>
      <c r="R131" s="331"/>
      <c r="S131" s="331"/>
    </row>
    <row r="132" spans="6:19" s="330" customFormat="1" ht="14.25">
      <c r="F132" s="341"/>
      <c r="K132" s="117"/>
      <c r="M132" s="333"/>
      <c r="N132" s="334"/>
      <c r="O132" s="331"/>
      <c r="P132" s="331"/>
      <c r="Q132" s="331"/>
      <c r="R132" s="331"/>
      <c r="S132" s="331"/>
    </row>
    <row r="133" spans="6:19" s="330" customFormat="1" ht="14.25">
      <c r="F133" s="341"/>
      <c r="K133" s="117"/>
      <c r="M133" s="333"/>
      <c r="N133" s="334"/>
      <c r="O133" s="331"/>
      <c r="P133" s="331"/>
      <c r="Q133" s="331"/>
      <c r="R133" s="331"/>
      <c r="S133" s="331"/>
    </row>
    <row r="134" spans="6:19" s="330" customFormat="1" ht="14.25">
      <c r="F134" s="341"/>
      <c r="K134" s="117"/>
      <c r="M134" s="333"/>
      <c r="N134" s="334"/>
      <c r="O134" s="331"/>
      <c r="P134" s="331"/>
      <c r="Q134" s="331"/>
      <c r="R134" s="331"/>
      <c r="S134" s="331"/>
    </row>
    <row r="135" spans="6:19" s="330" customFormat="1" ht="14.25">
      <c r="F135" s="341"/>
      <c r="K135" s="117"/>
      <c r="M135" s="333"/>
      <c r="N135" s="334"/>
      <c r="O135" s="331"/>
      <c r="P135" s="331"/>
      <c r="Q135" s="331"/>
      <c r="R135" s="331"/>
      <c r="S135" s="331"/>
    </row>
    <row r="136" spans="6:19" s="330" customFormat="1" ht="14.25">
      <c r="F136" s="341"/>
      <c r="K136" s="117"/>
      <c r="M136" s="333"/>
      <c r="N136" s="334"/>
      <c r="O136" s="331"/>
      <c r="P136" s="331"/>
      <c r="Q136" s="331"/>
      <c r="R136" s="331"/>
      <c r="S136" s="331"/>
    </row>
    <row r="137" spans="6:19" s="330" customFormat="1" ht="14.25">
      <c r="F137" s="341"/>
      <c r="K137" s="117"/>
      <c r="M137" s="333"/>
      <c r="N137" s="334"/>
      <c r="O137" s="331"/>
      <c r="P137" s="331"/>
      <c r="Q137" s="331"/>
      <c r="R137" s="331"/>
      <c r="S137" s="331"/>
    </row>
    <row r="138" spans="6:19" s="330" customFormat="1" ht="14.25">
      <c r="F138" s="341"/>
      <c r="K138" s="117"/>
      <c r="M138" s="333"/>
      <c r="N138" s="334"/>
      <c r="O138" s="331"/>
      <c r="P138" s="331"/>
      <c r="Q138" s="331"/>
      <c r="R138" s="331"/>
      <c r="S138" s="331"/>
    </row>
    <row r="139" spans="6:19" s="330" customFormat="1" ht="14.25">
      <c r="F139" s="341"/>
      <c r="K139" s="117"/>
      <c r="M139" s="333"/>
      <c r="N139" s="334"/>
      <c r="O139" s="331"/>
      <c r="P139" s="331"/>
      <c r="Q139" s="331"/>
      <c r="R139" s="331"/>
      <c r="S139" s="331"/>
    </row>
    <row r="140" spans="6:19" s="330" customFormat="1" ht="14.25">
      <c r="F140" s="341"/>
      <c r="K140" s="117"/>
      <c r="M140" s="333"/>
      <c r="N140" s="334"/>
      <c r="O140" s="331"/>
      <c r="P140" s="331"/>
      <c r="Q140" s="331"/>
      <c r="R140" s="331"/>
      <c r="S140" s="331"/>
    </row>
    <row r="141" spans="6:19" s="330" customFormat="1" ht="14.25">
      <c r="F141" s="341"/>
      <c r="K141" s="117"/>
      <c r="M141" s="333"/>
      <c r="N141" s="334"/>
      <c r="O141" s="331"/>
      <c r="P141" s="331"/>
      <c r="Q141" s="331"/>
      <c r="R141" s="331"/>
      <c r="S141" s="331"/>
    </row>
    <row r="142" spans="6:19" s="330" customFormat="1" ht="14.25">
      <c r="F142" s="341"/>
      <c r="K142" s="117"/>
      <c r="M142" s="333"/>
      <c r="N142" s="334"/>
      <c r="O142" s="331"/>
      <c r="P142" s="331"/>
      <c r="Q142" s="331"/>
      <c r="R142" s="331"/>
      <c r="S142" s="331"/>
    </row>
    <row r="143" spans="6:19" s="330" customFormat="1" ht="14.25">
      <c r="F143" s="341"/>
      <c r="K143" s="117"/>
      <c r="M143" s="333"/>
      <c r="N143" s="334"/>
      <c r="O143" s="331"/>
      <c r="P143" s="331"/>
      <c r="Q143" s="331"/>
      <c r="R143" s="331"/>
      <c r="S143" s="331"/>
    </row>
    <row r="144" spans="6:19" s="330" customFormat="1" ht="14.25">
      <c r="F144" s="341"/>
      <c r="K144" s="117"/>
      <c r="M144" s="333"/>
      <c r="N144" s="334"/>
      <c r="O144" s="331"/>
      <c r="P144" s="331"/>
      <c r="Q144" s="331"/>
      <c r="R144" s="331"/>
      <c r="S144" s="331"/>
    </row>
    <row r="145" spans="6:19" s="330" customFormat="1" ht="14.25">
      <c r="F145" s="341"/>
      <c r="K145" s="117"/>
      <c r="M145" s="333"/>
      <c r="N145" s="334"/>
      <c r="O145" s="331"/>
      <c r="P145" s="331"/>
      <c r="Q145" s="331"/>
      <c r="R145" s="331"/>
      <c r="S145" s="331"/>
    </row>
    <row r="146" spans="6:19" s="330" customFormat="1" ht="14.25">
      <c r="F146" s="341"/>
      <c r="K146" s="117"/>
      <c r="M146" s="333"/>
      <c r="N146" s="334"/>
      <c r="O146" s="331"/>
      <c r="P146" s="331"/>
      <c r="Q146" s="331"/>
      <c r="R146" s="331"/>
      <c r="S146" s="331"/>
    </row>
    <row r="147" spans="6:19" s="330" customFormat="1" ht="14.25">
      <c r="F147" s="341"/>
      <c r="K147" s="117"/>
      <c r="M147" s="333"/>
      <c r="N147" s="334"/>
      <c r="O147" s="331"/>
      <c r="P147" s="331"/>
      <c r="Q147" s="331"/>
      <c r="R147" s="331"/>
      <c r="S147" s="331"/>
    </row>
    <row r="148" spans="6:19" s="330" customFormat="1" ht="14.25">
      <c r="F148" s="341"/>
      <c r="K148" s="117"/>
      <c r="M148" s="333"/>
      <c r="N148" s="334"/>
      <c r="O148" s="331"/>
      <c r="P148" s="331"/>
      <c r="Q148" s="331"/>
      <c r="R148" s="331"/>
      <c r="S148" s="331"/>
    </row>
    <row r="149" spans="6:19" s="330" customFormat="1" ht="14.25">
      <c r="F149" s="341"/>
      <c r="K149" s="117"/>
      <c r="M149" s="333"/>
      <c r="N149" s="334"/>
      <c r="O149" s="331"/>
      <c r="P149" s="331"/>
      <c r="Q149" s="331"/>
      <c r="R149" s="331"/>
      <c r="S149" s="331"/>
    </row>
    <row r="150" spans="6:19" s="330" customFormat="1" ht="14.25">
      <c r="F150" s="341"/>
      <c r="K150" s="117"/>
      <c r="M150" s="333"/>
      <c r="N150" s="334"/>
      <c r="O150" s="331"/>
      <c r="P150" s="331"/>
      <c r="Q150" s="331"/>
      <c r="R150" s="331"/>
      <c r="S150" s="331"/>
    </row>
    <row r="151" spans="6:19" s="330" customFormat="1" ht="14.25">
      <c r="F151" s="341"/>
      <c r="K151" s="117"/>
      <c r="M151" s="333"/>
      <c r="N151" s="334"/>
      <c r="O151" s="331"/>
      <c r="P151" s="331"/>
      <c r="Q151" s="331"/>
      <c r="R151" s="331"/>
      <c r="S151" s="331"/>
    </row>
    <row r="152" spans="6:19" s="330" customFormat="1" ht="14.25">
      <c r="F152" s="341"/>
      <c r="K152" s="117"/>
      <c r="M152" s="333"/>
      <c r="N152" s="334"/>
      <c r="O152" s="331"/>
      <c r="P152" s="331"/>
      <c r="Q152" s="331"/>
      <c r="R152" s="331"/>
      <c r="S152" s="331"/>
    </row>
    <row r="153" spans="6:19" s="330" customFormat="1" ht="14.25">
      <c r="F153" s="341"/>
      <c r="K153" s="117"/>
      <c r="M153" s="333"/>
      <c r="N153" s="334"/>
      <c r="O153" s="331"/>
      <c r="P153" s="331"/>
      <c r="Q153" s="331"/>
      <c r="R153" s="331"/>
      <c r="S153" s="331"/>
    </row>
    <row r="154" spans="6:19" s="330" customFormat="1" ht="14.25">
      <c r="F154" s="341"/>
      <c r="K154" s="117"/>
      <c r="M154" s="333"/>
      <c r="N154" s="334"/>
      <c r="O154" s="331"/>
      <c r="P154" s="331"/>
      <c r="Q154" s="331"/>
      <c r="R154" s="331"/>
      <c r="S154" s="331"/>
    </row>
    <row r="155" spans="6:19" s="330" customFormat="1" ht="14.25">
      <c r="F155" s="341"/>
      <c r="K155" s="117"/>
      <c r="M155" s="333"/>
      <c r="N155" s="334"/>
      <c r="O155" s="331"/>
      <c r="P155" s="331"/>
      <c r="Q155" s="331"/>
      <c r="R155" s="331"/>
      <c r="S155" s="331"/>
    </row>
    <row r="156" spans="6:19" s="330" customFormat="1" ht="14.25">
      <c r="F156" s="341"/>
      <c r="K156" s="117"/>
      <c r="M156" s="333"/>
      <c r="N156" s="334"/>
      <c r="O156" s="331"/>
      <c r="P156" s="331"/>
      <c r="Q156" s="331"/>
      <c r="R156" s="331"/>
      <c r="S156" s="331"/>
    </row>
    <row r="157" spans="6:19" s="330" customFormat="1" ht="14.25">
      <c r="F157" s="341"/>
      <c r="K157" s="117"/>
      <c r="M157" s="333"/>
      <c r="N157" s="334"/>
      <c r="O157" s="331"/>
      <c r="P157" s="331"/>
      <c r="Q157" s="331"/>
      <c r="R157" s="331"/>
      <c r="S157" s="331"/>
    </row>
    <row r="158" spans="6:19" s="330" customFormat="1" ht="14.25">
      <c r="F158" s="341"/>
      <c r="K158" s="117"/>
      <c r="M158" s="333"/>
      <c r="N158" s="334"/>
      <c r="O158" s="331"/>
      <c r="P158" s="331"/>
      <c r="Q158" s="331"/>
      <c r="R158" s="331"/>
      <c r="S158" s="331"/>
    </row>
    <row r="159" spans="6:19" s="330" customFormat="1" ht="14.25">
      <c r="F159" s="341"/>
      <c r="K159" s="117"/>
      <c r="M159" s="333"/>
      <c r="N159" s="334"/>
      <c r="O159" s="331"/>
      <c r="P159" s="331"/>
      <c r="Q159" s="331"/>
      <c r="R159" s="331"/>
      <c r="S159" s="331"/>
    </row>
    <row r="160" spans="6:19" s="330" customFormat="1" ht="14.25">
      <c r="F160" s="341"/>
      <c r="K160" s="117"/>
      <c r="M160" s="333"/>
      <c r="N160" s="334"/>
      <c r="O160" s="331"/>
      <c r="P160" s="331"/>
      <c r="Q160" s="331"/>
      <c r="R160" s="331"/>
      <c r="S160" s="331"/>
    </row>
    <row r="161" spans="6:19" s="330" customFormat="1" ht="14.25">
      <c r="F161" s="341"/>
      <c r="K161" s="117"/>
      <c r="M161" s="333"/>
      <c r="N161" s="334"/>
      <c r="O161" s="331"/>
      <c r="P161" s="331"/>
      <c r="Q161" s="331"/>
      <c r="R161" s="331"/>
      <c r="S161" s="331"/>
    </row>
    <row r="162" spans="6:19" s="330" customFormat="1" ht="14.25">
      <c r="F162" s="341"/>
      <c r="K162" s="117"/>
      <c r="M162" s="333"/>
      <c r="N162" s="334"/>
      <c r="O162" s="331"/>
      <c r="P162" s="331"/>
      <c r="Q162" s="331"/>
      <c r="R162" s="331"/>
      <c r="S162" s="331"/>
    </row>
    <row r="163" spans="6:19" s="330" customFormat="1" ht="14.25">
      <c r="F163" s="341"/>
      <c r="K163" s="117"/>
      <c r="M163" s="333"/>
      <c r="N163" s="334"/>
      <c r="O163" s="331"/>
      <c r="P163" s="331"/>
      <c r="Q163" s="331"/>
      <c r="R163" s="331"/>
      <c r="S163" s="331"/>
    </row>
    <row r="164" spans="6:19" s="330" customFormat="1" ht="14.25">
      <c r="F164" s="341"/>
      <c r="K164" s="117"/>
      <c r="M164" s="333"/>
      <c r="N164" s="334"/>
      <c r="O164" s="331"/>
      <c r="P164" s="331"/>
      <c r="Q164" s="331"/>
      <c r="R164" s="331"/>
      <c r="S164" s="331"/>
    </row>
    <row r="165" spans="6:19" s="330" customFormat="1" ht="14.25">
      <c r="F165" s="341"/>
      <c r="K165" s="117"/>
      <c r="M165" s="333"/>
      <c r="N165" s="334"/>
      <c r="O165" s="331"/>
      <c r="P165" s="331"/>
      <c r="Q165" s="331"/>
      <c r="R165" s="331"/>
      <c r="S165" s="331"/>
    </row>
    <row r="166" spans="6:19" s="330" customFormat="1" ht="14.25">
      <c r="F166" s="341"/>
      <c r="K166" s="117"/>
      <c r="M166" s="333"/>
      <c r="N166" s="334"/>
      <c r="O166" s="331"/>
      <c r="P166" s="331"/>
      <c r="Q166" s="331"/>
      <c r="R166" s="331"/>
      <c r="S166" s="331"/>
    </row>
    <row r="167" spans="6:19" s="330" customFormat="1" ht="14.25">
      <c r="F167" s="341"/>
      <c r="K167" s="117"/>
      <c r="M167" s="333"/>
      <c r="N167" s="334"/>
      <c r="O167" s="331"/>
      <c r="P167" s="331"/>
      <c r="Q167" s="331"/>
      <c r="R167" s="331"/>
      <c r="S167" s="331"/>
    </row>
    <row r="168" spans="6:19" s="330" customFormat="1" ht="14.25">
      <c r="F168" s="341"/>
      <c r="K168" s="117"/>
      <c r="M168" s="333"/>
      <c r="N168" s="334"/>
      <c r="O168" s="331"/>
      <c r="P168" s="331"/>
      <c r="Q168" s="331"/>
      <c r="R168" s="331"/>
      <c r="S168" s="331"/>
    </row>
    <row r="169" spans="6:19" s="330" customFormat="1" ht="14.25">
      <c r="F169" s="341"/>
      <c r="K169" s="117"/>
      <c r="M169" s="333"/>
      <c r="N169" s="334"/>
      <c r="O169" s="331"/>
      <c r="P169" s="331"/>
      <c r="Q169" s="331"/>
      <c r="R169" s="331"/>
      <c r="S169" s="331"/>
    </row>
    <row r="170" spans="6:19" s="330" customFormat="1" ht="14.25">
      <c r="F170" s="341"/>
      <c r="K170" s="117"/>
      <c r="M170" s="333"/>
      <c r="N170" s="334"/>
      <c r="O170" s="331"/>
      <c r="P170" s="331"/>
      <c r="Q170" s="331"/>
      <c r="R170" s="331"/>
      <c r="S170" s="331"/>
    </row>
    <row r="171" spans="6:19" s="330" customFormat="1" ht="14.25">
      <c r="F171" s="341"/>
      <c r="K171" s="117"/>
      <c r="M171" s="333"/>
      <c r="N171" s="334"/>
      <c r="O171" s="331"/>
      <c r="P171" s="331"/>
      <c r="Q171" s="331"/>
      <c r="R171" s="331"/>
      <c r="S171" s="331"/>
    </row>
    <row r="172" spans="6:19" s="330" customFormat="1" ht="14.25">
      <c r="F172" s="341"/>
      <c r="K172" s="117"/>
      <c r="M172" s="333"/>
      <c r="N172" s="334"/>
      <c r="O172" s="331"/>
      <c r="P172" s="331"/>
      <c r="Q172" s="331"/>
      <c r="R172" s="331"/>
      <c r="S172" s="331"/>
    </row>
    <row r="173" spans="6:19" s="330" customFormat="1" ht="14.25">
      <c r="F173" s="341"/>
      <c r="K173" s="117"/>
      <c r="M173" s="333"/>
      <c r="N173" s="334"/>
      <c r="O173" s="331"/>
      <c r="P173" s="331"/>
      <c r="Q173" s="331"/>
      <c r="R173" s="331"/>
      <c r="S173" s="331"/>
    </row>
    <row r="174" spans="6:19" s="330" customFormat="1" ht="14.25">
      <c r="F174" s="341"/>
      <c r="K174" s="117"/>
      <c r="M174" s="333"/>
      <c r="N174" s="334"/>
      <c r="O174" s="331"/>
      <c r="P174" s="331"/>
      <c r="Q174" s="331"/>
      <c r="R174" s="331"/>
      <c r="S174" s="331"/>
    </row>
    <row r="175" spans="6:19" s="330" customFormat="1" ht="14.25">
      <c r="F175" s="341"/>
      <c r="K175" s="117"/>
      <c r="M175" s="333"/>
      <c r="N175" s="334"/>
      <c r="O175" s="331"/>
      <c r="P175" s="331"/>
      <c r="Q175" s="331"/>
      <c r="R175" s="331"/>
      <c r="S175" s="331"/>
    </row>
    <row r="176" spans="6:19" s="330" customFormat="1" ht="14.25">
      <c r="F176" s="341"/>
      <c r="K176" s="117"/>
      <c r="M176" s="333"/>
      <c r="N176" s="334"/>
      <c r="O176" s="331"/>
      <c r="P176" s="331"/>
      <c r="Q176" s="331"/>
      <c r="R176" s="331"/>
      <c r="S176" s="331"/>
    </row>
    <row r="177" spans="6:19" s="330" customFormat="1" ht="14.25">
      <c r="F177" s="341"/>
      <c r="K177" s="117"/>
      <c r="M177" s="333"/>
      <c r="N177" s="334"/>
      <c r="O177" s="331"/>
      <c r="P177" s="331"/>
      <c r="Q177" s="331"/>
      <c r="R177" s="331"/>
      <c r="S177" s="331"/>
    </row>
    <row r="178" spans="6:19" s="330" customFormat="1" ht="14.25">
      <c r="F178" s="341"/>
      <c r="K178" s="117"/>
      <c r="M178" s="333"/>
      <c r="N178" s="334"/>
      <c r="O178" s="331"/>
      <c r="P178" s="331"/>
      <c r="Q178" s="331"/>
      <c r="R178" s="331"/>
      <c r="S178" s="331"/>
    </row>
    <row r="179" spans="6:19" s="330" customFormat="1" ht="14.25">
      <c r="F179" s="341"/>
      <c r="K179" s="117"/>
      <c r="M179" s="333"/>
      <c r="N179" s="334"/>
      <c r="O179" s="331"/>
      <c r="P179" s="331"/>
      <c r="Q179" s="331"/>
      <c r="R179" s="331"/>
      <c r="S179" s="331"/>
    </row>
    <row r="180" spans="6:19" s="330" customFormat="1" ht="14.25">
      <c r="F180" s="341"/>
      <c r="K180" s="117"/>
      <c r="M180" s="333"/>
      <c r="N180" s="334"/>
      <c r="O180" s="331"/>
      <c r="P180" s="331"/>
      <c r="Q180" s="331"/>
      <c r="R180" s="331"/>
      <c r="S180" s="331"/>
    </row>
    <row r="181" spans="6:19" s="330" customFormat="1" ht="14.25">
      <c r="F181" s="341"/>
      <c r="K181" s="117"/>
      <c r="M181" s="333"/>
      <c r="N181" s="334"/>
      <c r="O181" s="331"/>
      <c r="P181" s="331"/>
      <c r="Q181" s="331"/>
      <c r="R181" s="331"/>
      <c r="S181" s="331"/>
    </row>
    <row r="182" spans="6:19" s="330" customFormat="1" ht="14.25">
      <c r="F182" s="341"/>
      <c r="K182" s="117"/>
      <c r="M182" s="333"/>
      <c r="N182" s="334"/>
      <c r="O182" s="331"/>
      <c r="P182" s="331"/>
      <c r="Q182" s="331"/>
      <c r="R182" s="331"/>
      <c r="S182" s="331"/>
    </row>
    <row r="183" spans="6:19" s="330" customFormat="1" ht="14.25">
      <c r="F183" s="341"/>
      <c r="K183" s="117"/>
      <c r="M183" s="333"/>
      <c r="N183" s="334"/>
      <c r="O183" s="331"/>
      <c r="P183" s="331"/>
      <c r="Q183" s="331"/>
      <c r="R183" s="331"/>
      <c r="S183" s="331"/>
    </row>
    <row r="184" spans="6:19" s="330" customFormat="1" ht="14.25">
      <c r="F184" s="341"/>
      <c r="K184" s="117"/>
      <c r="M184" s="333"/>
      <c r="N184" s="334"/>
      <c r="O184" s="331"/>
      <c r="P184" s="331"/>
      <c r="Q184" s="331"/>
      <c r="R184" s="331"/>
      <c r="S184" s="331"/>
    </row>
    <row r="185" spans="6:19" s="330" customFormat="1" ht="14.25">
      <c r="F185" s="341"/>
      <c r="K185" s="117"/>
      <c r="M185" s="333"/>
      <c r="N185" s="334"/>
      <c r="O185" s="331"/>
      <c r="P185" s="331"/>
      <c r="Q185" s="331"/>
      <c r="R185" s="331"/>
      <c r="S185" s="331"/>
    </row>
    <row r="186" spans="6:19" s="330" customFormat="1" ht="14.25">
      <c r="F186" s="341"/>
      <c r="K186" s="117"/>
      <c r="M186" s="333"/>
      <c r="N186" s="334"/>
      <c r="O186" s="331"/>
      <c r="P186" s="331"/>
      <c r="Q186" s="331"/>
      <c r="R186" s="331"/>
      <c r="S186" s="331"/>
    </row>
    <row r="187" spans="6:19" s="330" customFormat="1" ht="14.25">
      <c r="F187" s="341"/>
      <c r="K187" s="117"/>
      <c r="M187" s="333"/>
      <c r="N187" s="334"/>
      <c r="O187" s="331"/>
      <c r="P187" s="331"/>
      <c r="Q187" s="331"/>
      <c r="R187" s="331"/>
      <c r="S187" s="331"/>
    </row>
    <row r="188" spans="6:19" s="330" customFormat="1" ht="14.25">
      <c r="F188" s="341"/>
      <c r="K188" s="117"/>
      <c r="M188" s="333"/>
      <c r="N188" s="334"/>
      <c r="O188" s="331"/>
      <c r="P188" s="331"/>
      <c r="Q188" s="331"/>
      <c r="R188" s="331"/>
      <c r="S188" s="331"/>
    </row>
    <row r="189" spans="6:19" s="330" customFormat="1" ht="14.25">
      <c r="F189" s="341"/>
      <c r="K189" s="117"/>
      <c r="M189" s="333"/>
      <c r="N189" s="334"/>
      <c r="O189" s="331"/>
      <c r="P189" s="331"/>
      <c r="Q189" s="331"/>
      <c r="R189" s="331"/>
      <c r="S189" s="331"/>
    </row>
    <row r="190" spans="6:19" s="330" customFormat="1" ht="14.25">
      <c r="F190" s="341"/>
      <c r="K190" s="117"/>
      <c r="M190" s="333"/>
      <c r="N190" s="334"/>
      <c r="O190" s="331"/>
      <c r="P190" s="331"/>
      <c r="Q190" s="331"/>
      <c r="R190" s="331"/>
      <c r="S190" s="331"/>
    </row>
    <row r="191" spans="6:19" s="330" customFormat="1" ht="14.25">
      <c r="F191" s="341"/>
      <c r="K191" s="117"/>
      <c r="M191" s="333"/>
      <c r="N191" s="334"/>
      <c r="O191" s="331"/>
      <c r="P191" s="331"/>
      <c r="Q191" s="331"/>
      <c r="R191" s="331"/>
      <c r="S191" s="331"/>
    </row>
    <row r="192" spans="6:19" s="330" customFormat="1" ht="14.25">
      <c r="F192" s="341"/>
      <c r="K192" s="117"/>
      <c r="M192" s="333"/>
      <c r="N192" s="334"/>
      <c r="O192" s="331"/>
      <c r="P192" s="331"/>
      <c r="Q192" s="331"/>
      <c r="R192" s="331"/>
      <c r="S192" s="331"/>
    </row>
    <row r="193" spans="6:19" s="330" customFormat="1" ht="14.25">
      <c r="F193" s="341"/>
      <c r="K193" s="117"/>
      <c r="M193" s="333"/>
      <c r="N193" s="334"/>
      <c r="O193" s="331"/>
      <c r="P193" s="331"/>
      <c r="Q193" s="331"/>
      <c r="R193" s="331"/>
      <c r="S193" s="331"/>
    </row>
    <row r="194" spans="6:19" s="330" customFormat="1" ht="14.25">
      <c r="F194" s="341"/>
      <c r="K194" s="117"/>
      <c r="M194" s="333"/>
      <c r="N194" s="334"/>
      <c r="O194" s="331"/>
      <c r="P194" s="331"/>
      <c r="Q194" s="331"/>
      <c r="R194" s="331"/>
      <c r="S194" s="331"/>
    </row>
    <row r="195" spans="6:19" s="330" customFormat="1" ht="14.25">
      <c r="F195" s="341"/>
      <c r="K195" s="117"/>
      <c r="M195" s="333"/>
      <c r="N195" s="334"/>
      <c r="O195" s="331"/>
      <c r="P195" s="331"/>
      <c r="Q195" s="331"/>
      <c r="R195" s="331"/>
      <c r="S195" s="331"/>
    </row>
    <row r="196" spans="6:19" s="330" customFormat="1" ht="14.25">
      <c r="F196" s="341"/>
      <c r="K196" s="117"/>
      <c r="M196" s="333"/>
      <c r="N196" s="334"/>
      <c r="O196" s="331"/>
      <c r="P196" s="331"/>
      <c r="Q196" s="331"/>
      <c r="R196" s="331"/>
      <c r="S196" s="331"/>
    </row>
    <row r="197" spans="6:19" s="330" customFormat="1" ht="14.25">
      <c r="F197" s="341"/>
      <c r="K197" s="117"/>
      <c r="M197" s="333"/>
      <c r="N197" s="334"/>
      <c r="O197" s="331"/>
      <c r="P197" s="331"/>
      <c r="Q197" s="331"/>
      <c r="R197" s="331"/>
      <c r="S197" s="331"/>
    </row>
    <row r="198" spans="6:19" s="330" customFormat="1" ht="14.25">
      <c r="F198" s="341"/>
      <c r="K198" s="117"/>
      <c r="M198" s="333"/>
      <c r="N198" s="334"/>
      <c r="O198" s="331"/>
      <c r="P198" s="331"/>
      <c r="Q198" s="331"/>
      <c r="R198" s="331"/>
      <c r="S198" s="331"/>
    </row>
    <row r="199" spans="6:19" s="330" customFormat="1" ht="14.25">
      <c r="F199" s="341"/>
      <c r="K199" s="117"/>
      <c r="M199" s="333"/>
      <c r="N199" s="334"/>
      <c r="O199" s="331"/>
      <c r="P199" s="331"/>
      <c r="Q199" s="331"/>
      <c r="R199" s="331"/>
      <c r="S199" s="331"/>
    </row>
    <row r="200" spans="6:19" s="330" customFormat="1" ht="14.25">
      <c r="F200" s="341"/>
      <c r="K200" s="117"/>
      <c r="M200" s="333"/>
      <c r="N200" s="334"/>
      <c r="O200" s="331"/>
      <c r="P200" s="331"/>
      <c r="Q200" s="331"/>
      <c r="R200" s="331"/>
      <c r="S200" s="331"/>
    </row>
    <row r="201" spans="6:19" s="330" customFormat="1" ht="14.25">
      <c r="F201" s="341"/>
      <c r="K201" s="117"/>
      <c r="M201" s="333"/>
      <c r="N201" s="334"/>
      <c r="O201" s="331"/>
      <c r="P201" s="331"/>
      <c r="Q201" s="331"/>
      <c r="R201" s="331"/>
      <c r="S201" s="331"/>
    </row>
    <row r="202" spans="6:19" s="330" customFormat="1" ht="14.25">
      <c r="F202" s="341"/>
      <c r="K202" s="117"/>
      <c r="M202" s="333"/>
      <c r="N202" s="334"/>
      <c r="O202" s="331"/>
      <c r="P202" s="331"/>
      <c r="Q202" s="331"/>
      <c r="R202" s="331"/>
      <c r="S202" s="331"/>
    </row>
    <row r="203" spans="6:19" s="330" customFormat="1" ht="14.25">
      <c r="F203" s="341"/>
      <c r="K203" s="117"/>
      <c r="M203" s="333"/>
      <c r="N203" s="334"/>
      <c r="O203" s="331"/>
      <c r="P203" s="331"/>
      <c r="Q203" s="331"/>
      <c r="R203" s="331"/>
      <c r="S203" s="331"/>
    </row>
    <row r="204" spans="6:19" s="330" customFormat="1" ht="14.25">
      <c r="F204" s="341"/>
      <c r="K204" s="117"/>
      <c r="M204" s="333"/>
      <c r="N204" s="334"/>
      <c r="O204" s="331"/>
      <c r="P204" s="331"/>
      <c r="Q204" s="331"/>
      <c r="R204" s="331"/>
      <c r="S204" s="331"/>
    </row>
    <row r="205" spans="6:19" s="330" customFormat="1" ht="14.25">
      <c r="F205" s="341"/>
      <c r="K205" s="117"/>
      <c r="M205" s="333"/>
      <c r="N205" s="334"/>
      <c r="O205" s="331"/>
      <c r="P205" s="331"/>
      <c r="Q205" s="331"/>
      <c r="R205" s="331"/>
      <c r="S205" s="331"/>
    </row>
    <row r="206" spans="6:19" s="330" customFormat="1" ht="14.25">
      <c r="F206" s="341"/>
      <c r="K206" s="117"/>
      <c r="M206" s="333"/>
      <c r="N206" s="334"/>
      <c r="O206" s="331"/>
      <c r="P206" s="331"/>
      <c r="Q206" s="331"/>
      <c r="R206" s="331"/>
      <c r="S206" s="331"/>
    </row>
    <row r="207" spans="6:19" s="330" customFormat="1" ht="14.25">
      <c r="F207" s="341"/>
      <c r="K207" s="117"/>
      <c r="M207" s="333"/>
      <c r="N207" s="334"/>
      <c r="O207" s="331"/>
      <c r="P207" s="331"/>
      <c r="Q207" s="331"/>
      <c r="R207" s="331"/>
      <c r="S207" s="331"/>
    </row>
    <row r="208" spans="6:19" s="330" customFormat="1" ht="14.25">
      <c r="F208" s="341"/>
      <c r="K208" s="117"/>
      <c r="M208" s="333"/>
      <c r="N208" s="334"/>
      <c r="O208" s="331"/>
      <c r="P208" s="331"/>
      <c r="Q208" s="331"/>
      <c r="R208" s="331"/>
      <c r="S208" s="331"/>
    </row>
    <row r="209" spans="6:19" s="330" customFormat="1" ht="14.25">
      <c r="F209" s="341"/>
      <c r="K209" s="117"/>
      <c r="M209" s="333"/>
      <c r="N209" s="334"/>
      <c r="O209" s="331"/>
      <c r="P209" s="331"/>
      <c r="Q209" s="331"/>
      <c r="R209" s="331"/>
      <c r="S209" s="331"/>
    </row>
    <row r="210" spans="6:19" s="330" customFormat="1" ht="14.25">
      <c r="F210" s="341"/>
      <c r="K210" s="117"/>
      <c r="M210" s="333"/>
      <c r="N210" s="334"/>
      <c r="O210" s="331"/>
      <c r="P210" s="331"/>
      <c r="Q210" s="331"/>
      <c r="R210" s="331"/>
      <c r="S210" s="331"/>
    </row>
    <row r="211" spans="6:19" s="330" customFormat="1" ht="14.25">
      <c r="F211" s="341"/>
      <c r="K211" s="117"/>
      <c r="M211" s="333"/>
      <c r="N211" s="334"/>
      <c r="O211" s="331"/>
      <c r="P211" s="331"/>
      <c r="Q211" s="331"/>
      <c r="R211" s="331"/>
      <c r="S211" s="331"/>
    </row>
    <row r="212" spans="6:19" s="330" customFormat="1" ht="14.25">
      <c r="F212" s="341"/>
      <c r="K212" s="117"/>
      <c r="M212" s="333"/>
      <c r="N212" s="334"/>
      <c r="O212" s="331"/>
      <c r="P212" s="331"/>
      <c r="Q212" s="331"/>
      <c r="R212" s="331"/>
      <c r="S212" s="331"/>
    </row>
    <row r="213" spans="6:19" s="330" customFormat="1" ht="14.25">
      <c r="F213" s="341"/>
      <c r="K213" s="117"/>
      <c r="M213" s="333"/>
      <c r="N213" s="334"/>
      <c r="O213" s="331"/>
      <c r="P213" s="331"/>
      <c r="Q213" s="331"/>
      <c r="R213" s="331"/>
      <c r="S213" s="331"/>
    </row>
    <row r="214" spans="6:19" s="330" customFormat="1" ht="14.25">
      <c r="F214" s="341"/>
      <c r="K214" s="117"/>
      <c r="M214" s="333"/>
      <c r="N214" s="334"/>
      <c r="O214" s="331"/>
      <c r="P214" s="331"/>
      <c r="Q214" s="331"/>
      <c r="R214" s="331"/>
      <c r="S214" s="331"/>
    </row>
    <row r="215" spans="6:19" s="330" customFormat="1" ht="14.25">
      <c r="F215" s="341"/>
      <c r="K215" s="117"/>
      <c r="M215" s="333"/>
      <c r="N215" s="334"/>
      <c r="O215" s="331"/>
      <c r="P215" s="331"/>
      <c r="Q215" s="331"/>
      <c r="R215" s="331"/>
      <c r="S215" s="331"/>
    </row>
    <row r="216" spans="6:19" s="330" customFormat="1" ht="14.25">
      <c r="F216" s="341"/>
      <c r="K216" s="117"/>
      <c r="M216" s="333"/>
      <c r="N216" s="334"/>
      <c r="O216" s="331"/>
      <c r="P216" s="331"/>
      <c r="Q216" s="331"/>
      <c r="R216" s="331"/>
      <c r="S216" s="331"/>
    </row>
    <row r="217" spans="6:19" s="330" customFormat="1" ht="14.25">
      <c r="F217" s="341"/>
      <c r="K217" s="117"/>
      <c r="M217" s="333"/>
      <c r="N217" s="334"/>
      <c r="O217" s="331"/>
      <c r="P217" s="331"/>
      <c r="Q217" s="331"/>
      <c r="R217" s="331"/>
      <c r="S217" s="331"/>
    </row>
    <row r="218" spans="6:19" s="330" customFormat="1" ht="14.25">
      <c r="F218" s="341"/>
      <c r="K218" s="117"/>
      <c r="M218" s="333"/>
      <c r="N218" s="334"/>
      <c r="O218" s="331"/>
      <c r="P218" s="331"/>
      <c r="Q218" s="331"/>
      <c r="R218" s="331"/>
      <c r="S218" s="331"/>
    </row>
    <row r="219" spans="6:19" s="330" customFormat="1" ht="14.25">
      <c r="F219" s="341"/>
      <c r="K219" s="117"/>
      <c r="M219" s="333"/>
      <c r="N219" s="334"/>
      <c r="O219" s="331"/>
      <c r="P219" s="331"/>
      <c r="Q219" s="331"/>
      <c r="R219" s="331"/>
      <c r="S219" s="331"/>
    </row>
    <row r="220" spans="6:19" s="330" customFormat="1" ht="14.25">
      <c r="F220" s="341"/>
      <c r="K220" s="117"/>
      <c r="M220" s="333"/>
      <c r="N220" s="334"/>
      <c r="O220" s="331"/>
      <c r="P220" s="331"/>
      <c r="Q220" s="331"/>
      <c r="R220" s="331"/>
      <c r="S220" s="331"/>
    </row>
    <row r="221" spans="6:19" s="330" customFormat="1" ht="14.25">
      <c r="F221" s="341"/>
      <c r="K221" s="117"/>
      <c r="M221" s="333"/>
      <c r="N221" s="334"/>
      <c r="O221" s="331"/>
      <c r="P221" s="331"/>
      <c r="Q221" s="331"/>
      <c r="R221" s="331"/>
      <c r="S221" s="331"/>
    </row>
    <row r="222" spans="6:19" s="330" customFormat="1" ht="14.25">
      <c r="F222" s="341"/>
      <c r="K222" s="117"/>
      <c r="M222" s="333"/>
      <c r="N222" s="334"/>
      <c r="O222" s="331"/>
      <c r="P222" s="331"/>
      <c r="Q222" s="331"/>
      <c r="R222" s="331"/>
      <c r="S222" s="331"/>
    </row>
    <row r="223" spans="6:19" s="330" customFormat="1" ht="14.25">
      <c r="F223" s="341"/>
      <c r="K223" s="117"/>
      <c r="M223" s="333"/>
      <c r="N223" s="334"/>
      <c r="O223" s="331"/>
      <c r="P223" s="331"/>
      <c r="Q223" s="331"/>
      <c r="R223" s="331"/>
      <c r="S223" s="331"/>
    </row>
    <row r="224" spans="6:19" s="330" customFormat="1" ht="14.25">
      <c r="F224" s="341"/>
      <c r="K224" s="117"/>
      <c r="M224" s="333"/>
      <c r="N224" s="334"/>
      <c r="O224" s="331"/>
      <c r="P224" s="331"/>
      <c r="Q224" s="331"/>
      <c r="R224" s="331"/>
      <c r="S224" s="331"/>
    </row>
    <row r="225" spans="6:19" s="330" customFormat="1" ht="14.25">
      <c r="F225" s="341"/>
      <c r="K225" s="117"/>
      <c r="M225" s="333"/>
      <c r="N225" s="334"/>
      <c r="O225" s="331"/>
      <c r="P225" s="331"/>
      <c r="Q225" s="331"/>
      <c r="R225" s="331"/>
      <c r="S225" s="331"/>
    </row>
    <row r="226" spans="6:19" s="330" customFormat="1" ht="14.25">
      <c r="F226" s="341"/>
      <c r="K226" s="117"/>
      <c r="M226" s="333"/>
      <c r="N226" s="334"/>
      <c r="O226" s="331"/>
      <c r="P226" s="331"/>
      <c r="Q226" s="331"/>
      <c r="R226" s="331"/>
      <c r="S226" s="331"/>
    </row>
    <row r="227" spans="6:19" s="330" customFormat="1" ht="14.25">
      <c r="F227" s="341"/>
      <c r="K227" s="117"/>
      <c r="M227" s="333"/>
      <c r="N227" s="334"/>
      <c r="O227" s="331"/>
      <c r="P227" s="331"/>
      <c r="Q227" s="331"/>
      <c r="R227" s="331"/>
      <c r="S227" s="331"/>
    </row>
    <row r="228" spans="6:19" s="330" customFormat="1" ht="14.25">
      <c r="F228" s="341"/>
      <c r="K228" s="117"/>
      <c r="M228" s="333"/>
      <c r="N228" s="334"/>
      <c r="O228" s="331"/>
      <c r="P228" s="331"/>
      <c r="Q228" s="331"/>
      <c r="R228" s="331"/>
      <c r="S228" s="331"/>
    </row>
    <row r="229" spans="6:19" s="330" customFormat="1" ht="14.25">
      <c r="F229" s="341"/>
      <c r="K229" s="117"/>
      <c r="M229" s="333"/>
      <c r="N229" s="334"/>
      <c r="O229" s="331"/>
      <c r="P229" s="331"/>
      <c r="Q229" s="331"/>
      <c r="R229" s="331"/>
      <c r="S229" s="331"/>
    </row>
    <row r="230" spans="6:19" s="330" customFormat="1" ht="14.25">
      <c r="F230" s="341"/>
      <c r="K230" s="117"/>
      <c r="M230" s="333"/>
      <c r="N230" s="334"/>
      <c r="O230" s="331"/>
      <c r="P230" s="331"/>
      <c r="Q230" s="331"/>
      <c r="R230" s="331"/>
      <c r="S230" s="331"/>
    </row>
    <row r="231" spans="6:19" s="330" customFormat="1" ht="14.25">
      <c r="F231" s="341"/>
      <c r="K231" s="117"/>
      <c r="M231" s="333"/>
      <c r="N231" s="334"/>
      <c r="O231" s="331"/>
      <c r="P231" s="331"/>
      <c r="Q231" s="331"/>
      <c r="R231" s="331"/>
      <c r="S231" s="331"/>
    </row>
    <row r="232" spans="6:19" s="330" customFormat="1" ht="14.25">
      <c r="F232" s="341"/>
      <c r="K232" s="117"/>
      <c r="M232" s="333"/>
      <c r="N232" s="334"/>
      <c r="O232" s="331"/>
      <c r="P232" s="331"/>
      <c r="Q232" s="331"/>
      <c r="R232" s="331"/>
      <c r="S232" s="331"/>
    </row>
    <row r="233" spans="6:19" s="330" customFormat="1" ht="14.25">
      <c r="F233" s="341"/>
      <c r="K233" s="117"/>
      <c r="M233" s="333"/>
      <c r="N233" s="334"/>
      <c r="O233" s="331"/>
      <c r="P233" s="331"/>
      <c r="Q233" s="331"/>
      <c r="R233" s="331"/>
      <c r="S233" s="331"/>
    </row>
    <row r="234" spans="6:19" s="330" customFormat="1" ht="14.25">
      <c r="F234" s="341"/>
      <c r="K234" s="117"/>
      <c r="M234" s="333"/>
      <c r="N234" s="334"/>
      <c r="O234" s="331"/>
      <c r="P234" s="331"/>
      <c r="Q234" s="331"/>
      <c r="R234" s="331"/>
      <c r="S234" s="331"/>
    </row>
    <row r="235" spans="6:19" s="330" customFormat="1" ht="14.25">
      <c r="F235" s="341"/>
      <c r="K235" s="117"/>
      <c r="M235" s="333"/>
      <c r="N235" s="334"/>
      <c r="O235" s="331"/>
      <c r="P235" s="331"/>
      <c r="Q235" s="331"/>
      <c r="R235" s="331"/>
      <c r="S235" s="331"/>
    </row>
    <row r="236" spans="6:19" s="330" customFormat="1" ht="14.25">
      <c r="F236" s="341"/>
      <c r="K236" s="117"/>
      <c r="M236" s="333"/>
      <c r="N236" s="334"/>
      <c r="O236" s="331"/>
      <c r="P236" s="331"/>
      <c r="Q236" s="331"/>
      <c r="R236" s="331"/>
      <c r="S236" s="331"/>
    </row>
    <row r="237" spans="6:19" s="330" customFormat="1" ht="14.25">
      <c r="F237" s="341"/>
      <c r="K237" s="117"/>
      <c r="M237" s="333"/>
      <c r="N237" s="334"/>
      <c r="O237" s="331"/>
      <c r="P237" s="331"/>
      <c r="Q237" s="331"/>
      <c r="R237" s="331"/>
      <c r="S237" s="331"/>
    </row>
    <row r="238" spans="6:19" s="330" customFormat="1" ht="14.25">
      <c r="F238" s="341"/>
      <c r="K238" s="117"/>
      <c r="M238" s="333"/>
      <c r="N238" s="334"/>
      <c r="O238" s="331"/>
      <c r="P238" s="331"/>
      <c r="Q238" s="331"/>
      <c r="R238" s="331"/>
      <c r="S238" s="331"/>
    </row>
    <row r="239" spans="6:19" s="330" customFormat="1" ht="14.25">
      <c r="F239" s="341"/>
      <c r="K239" s="117"/>
      <c r="M239" s="333"/>
      <c r="N239" s="334"/>
      <c r="O239" s="331"/>
      <c r="P239" s="331"/>
      <c r="Q239" s="331"/>
      <c r="R239" s="331"/>
      <c r="S239" s="331"/>
    </row>
    <row r="240" spans="6:19" s="330" customFormat="1" ht="14.25">
      <c r="F240" s="341"/>
      <c r="K240" s="117"/>
      <c r="M240" s="333"/>
      <c r="N240" s="334"/>
      <c r="O240" s="331"/>
      <c r="P240" s="331"/>
      <c r="Q240" s="331"/>
      <c r="R240" s="331"/>
      <c r="S240" s="331"/>
    </row>
    <row r="241" spans="6:19" s="330" customFormat="1" ht="14.25">
      <c r="F241" s="341"/>
      <c r="K241" s="117"/>
      <c r="M241" s="333"/>
      <c r="N241" s="334"/>
      <c r="O241" s="331"/>
      <c r="P241" s="331"/>
      <c r="Q241" s="331"/>
      <c r="R241" s="331"/>
      <c r="S241" s="331"/>
    </row>
    <row r="242" spans="6:19" s="330" customFormat="1" ht="14.25">
      <c r="F242" s="341"/>
      <c r="K242" s="117"/>
      <c r="M242" s="333"/>
      <c r="N242" s="334"/>
      <c r="O242" s="331"/>
      <c r="P242" s="331"/>
      <c r="Q242" s="331"/>
      <c r="R242" s="331"/>
      <c r="S242" s="331"/>
    </row>
    <row r="243" spans="6:19" s="330" customFormat="1" ht="14.25">
      <c r="F243" s="341"/>
      <c r="K243" s="117"/>
      <c r="M243" s="333"/>
      <c r="N243" s="334"/>
      <c r="O243" s="331"/>
      <c r="P243" s="331"/>
      <c r="Q243" s="331"/>
      <c r="R243" s="331"/>
      <c r="S243" s="331"/>
    </row>
    <row r="244" spans="6:19" s="330" customFormat="1" ht="14.25">
      <c r="F244" s="341"/>
      <c r="K244" s="117"/>
      <c r="M244" s="333"/>
      <c r="N244" s="334"/>
      <c r="O244" s="331"/>
      <c r="P244" s="331"/>
      <c r="Q244" s="331"/>
      <c r="R244" s="331"/>
      <c r="S244" s="331"/>
    </row>
    <row r="245" spans="6:19" s="330" customFormat="1" ht="14.25">
      <c r="F245" s="341"/>
      <c r="K245" s="117"/>
      <c r="M245" s="333"/>
      <c r="N245" s="334"/>
      <c r="O245" s="331"/>
      <c r="P245" s="331"/>
      <c r="Q245" s="331"/>
      <c r="R245" s="331"/>
      <c r="S245" s="331"/>
    </row>
    <row r="246" spans="6:19" s="330" customFormat="1" ht="14.25">
      <c r="F246" s="341"/>
      <c r="K246" s="117"/>
      <c r="M246" s="333"/>
      <c r="N246" s="334"/>
      <c r="O246" s="331"/>
      <c r="P246" s="331"/>
      <c r="Q246" s="331"/>
      <c r="R246" s="331"/>
      <c r="S246" s="331"/>
    </row>
    <row r="247" spans="6:19" s="330" customFormat="1" ht="14.25">
      <c r="F247" s="341"/>
      <c r="K247" s="117"/>
      <c r="M247" s="333"/>
      <c r="N247" s="334"/>
      <c r="O247" s="331"/>
      <c r="P247" s="331"/>
      <c r="Q247" s="331"/>
      <c r="R247" s="331"/>
      <c r="S247" s="331"/>
    </row>
    <row r="248" spans="6:19" s="330" customFormat="1" ht="14.25">
      <c r="F248" s="341"/>
      <c r="K248" s="117"/>
      <c r="M248" s="333"/>
      <c r="N248" s="334"/>
      <c r="O248" s="331"/>
      <c r="P248" s="331"/>
      <c r="Q248" s="331"/>
      <c r="R248" s="331"/>
      <c r="S248" s="331"/>
    </row>
    <row r="249" spans="6:19" s="330" customFormat="1" ht="14.25">
      <c r="F249" s="341"/>
      <c r="K249" s="117"/>
      <c r="M249" s="333"/>
      <c r="N249" s="334"/>
      <c r="O249" s="331"/>
      <c r="P249" s="331"/>
      <c r="Q249" s="331"/>
      <c r="R249" s="331"/>
      <c r="S249" s="331"/>
    </row>
    <row r="250" spans="6:19" s="330" customFormat="1" ht="14.25">
      <c r="F250" s="341"/>
      <c r="K250" s="117"/>
      <c r="M250" s="333"/>
      <c r="N250" s="334"/>
      <c r="O250" s="331"/>
      <c r="P250" s="331"/>
      <c r="Q250" s="331"/>
      <c r="R250" s="331"/>
      <c r="S250" s="331"/>
    </row>
    <row r="251" spans="6:19" s="330" customFormat="1" ht="14.25">
      <c r="F251" s="341"/>
      <c r="K251" s="117"/>
      <c r="M251" s="333"/>
      <c r="N251" s="334"/>
      <c r="O251" s="331"/>
      <c r="P251" s="331"/>
      <c r="Q251" s="331"/>
      <c r="R251" s="331"/>
      <c r="S251" s="331"/>
    </row>
    <row r="252" spans="6:19" s="330" customFormat="1" ht="14.25">
      <c r="F252" s="341"/>
      <c r="K252" s="117"/>
      <c r="M252" s="333"/>
      <c r="N252" s="334"/>
      <c r="O252" s="331"/>
      <c r="P252" s="331"/>
      <c r="Q252" s="331"/>
      <c r="R252" s="331"/>
      <c r="S252" s="331"/>
    </row>
    <row r="253" spans="6:19" s="330" customFormat="1" ht="14.25">
      <c r="F253" s="341"/>
      <c r="K253" s="117"/>
      <c r="M253" s="333"/>
      <c r="N253" s="334"/>
      <c r="O253" s="331"/>
      <c r="P253" s="331"/>
      <c r="Q253" s="331"/>
      <c r="R253" s="331"/>
      <c r="S253" s="331"/>
    </row>
    <row r="254" spans="6:19" s="330" customFormat="1" ht="14.25">
      <c r="F254" s="341"/>
      <c r="K254" s="117"/>
      <c r="M254" s="333"/>
      <c r="N254" s="334"/>
      <c r="O254" s="331"/>
      <c r="P254" s="331"/>
      <c r="Q254" s="331"/>
      <c r="R254" s="331"/>
      <c r="S254" s="331"/>
    </row>
    <row r="255" spans="6:19" s="330" customFormat="1" ht="14.25">
      <c r="F255" s="341"/>
      <c r="K255" s="117"/>
      <c r="M255" s="333"/>
      <c r="N255" s="334"/>
      <c r="O255" s="331"/>
      <c r="P255" s="331"/>
      <c r="Q255" s="331"/>
      <c r="R255" s="331"/>
      <c r="S255" s="331"/>
    </row>
    <row r="256" spans="6:19" s="330" customFormat="1" ht="14.25">
      <c r="F256" s="341"/>
      <c r="K256" s="117"/>
      <c r="M256" s="333"/>
      <c r="N256" s="334"/>
      <c r="O256" s="331"/>
      <c r="P256" s="331"/>
      <c r="Q256" s="331"/>
      <c r="R256" s="331"/>
      <c r="S256" s="331"/>
    </row>
    <row r="257" spans="6:19" s="330" customFormat="1" ht="14.25">
      <c r="F257" s="341"/>
      <c r="K257" s="117"/>
      <c r="M257" s="333"/>
      <c r="N257" s="334"/>
      <c r="O257" s="331"/>
      <c r="P257" s="331"/>
      <c r="Q257" s="331"/>
      <c r="R257" s="331"/>
      <c r="S257" s="331"/>
    </row>
    <row r="258" spans="6:19" s="330" customFormat="1" ht="14.25">
      <c r="F258" s="341"/>
      <c r="K258" s="117"/>
      <c r="M258" s="333"/>
      <c r="N258" s="334"/>
      <c r="O258" s="331"/>
      <c r="P258" s="331"/>
      <c r="Q258" s="331"/>
      <c r="R258" s="331"/>
      <c r="S258" s="331"/>
    </row>
    <row r="259" spans="6:19" s="330" customFormat="1" ht="14.25">
      <c r="F259" s="341"/>
      <c r="K259" s="117"/>
      <c r="M259" s="333"/>
      <c r="N259" s="334"/>
      <c r="O259" s="331"/>
      <c r="P259" s="331"/>
      <c r="Q259" s="331"/>
      <c r="R259" s="331"/>
      <c r="S259" s="331"/>
    </row>
    <row r="260" spans="6:19" s="330" customFormat="1" ht="14.25">
      <c r="F260" s="341"/>
      <c r="K260" s="117"/>
      <c r="M260" s="333"/>
      <c r="N260" s="334"/>
      <c r="O260" s="331"/>
      <c r="P260" s="331"/>
      <c r="Q260" s="331"/>
      <c r="R260" s="331"/>
      <c r="S260" s="331"/>
    </row>
    <row r="261" spans="6:19" s="330" customFormat="1" ht="14.25">
      <c r="F261" s="341"/>
      <c r="K261" s="117"/>
      <c r="M261" s="333"/>
      <c r="N261" s="334"/>
      <c r="O261" s="331"/>
      <c r="P261" s="331"/>
      <c r="Q261" s="331"/>
      <c r="R261" s="331"/>
      <c r="S261" s="331"/>
    </row>
    <row r="262" spans="6:19" s="330" customFormat="1" ht="14.25">
      <c r="F262" s="341"/>
      <c r="K262" s="117"/>
      <c r="M262" s="333"/>
      <c r="N262" s="334"/>
      <c r="O262" s="331"/>
      <c r="P262" s="331"/>
      <c r="Q262" s="331"/>
      <c r="R262" s="331"/>
      <c r="S262" s="331"/>
    </row>
    <row r="263" spans="6:19" s="330" customFormat="1" ht="14.25">
      <c r="F263" s="341"/>
      <c r="K263" s="117"/>
      <c r="M263" s="333"/>
      <c r="N263" s="334"/>
      <c r="O263" s="331"/>
      <c r="P263" s="331"/>
      <c r="Q263" s="331"/>
      <c r="R263" s="331"/>
      <c r="S263" s="331"/>
    </row>
    <row r="264" spans="6:19" s="330" customFormat="1" ht="14.25">
      <c r="F264" s="341"/>
      <c r="K264" s="117"/>
      <c r="M264" s="333"/>
      <c r="N264" s="334"/>
      <c r="O264" s="331"/>
      <c r="P264" s="331"/>
      <c r="Q264" s="331"/>
      <c r="R264" s="331"/>
      <c r="S264" s="331"/>
    </row>
    <row r="265" spans="6:19" s="330" customFormat="1" ht="14.25">
      <c r="F265" s="341"/>
      <c r="K265" s="117"/>
      <c r="M265" s="333"/>
      <c r="N265" s="334"/>
      <c r="O265" s="331"/>
      <c r="P265" s="331"/>
      <c r="Q265" s="331"/>
      <c r="R265" s="331"/>
      <c r="S265" s="331"/>
    </row>
    <row r="266" spans="6:19" s="330" customFormat="1" ht="14.25">
      <c r="F266" s="341"/>
      <c r="K266" s="117"/>
      <c r="M266" s="333"/>
      <c r="N266" s="334"/>
      <c r="O266" s="331"/>
      <c r="P266" s="331"/>
      <c r="Q266" s="331"/>
      <c r="R266" s="331"/>
      <c r="S266" s="331"/>
    </row>
    <row r="267" spans="6:19" s="330" customFormat="1" ht="14.25">
      <c r="F267" s="341"/>
      <c r="K267" s="117"/>
      <c r="M267" s="333"/>
      <c r="N267" s="334"/>
      <c r="O267" s="331"/>
      <c r="P267" s="331"/>
      <c r="Q267" s="331"/>
      <c r="R267" s="331"/>
      <c r="S267" s="331"/>
    </row>
    <row r="268" spans="6:19" s="330" customFormat="1" ht="14.25">
      <c r="F268" s="341"/>
      <c r="K268" s="117"/>
      <c r="M268" s="333"/>
      <c r="N268" s="334"/>
      <c r="O268" s="331"/>
      <c r="P268" s="331"/>
      <c r="Q268" s="331"/>
      <c r="R268" s="331"/>
      <c r="S268" s="331"/>
    </row>
    <row r="269" spans="6:19" s="330" customFormat="1" ht="14.25">
      <c r="F269" s="341"/>
      <c r="K269" s="117"/>
      <c r="M269" s="333"/>
      <c r="N269" s="334"/>
      <c r="O269" s="331"/>
      <c r="P269" s="331"/>
      <c r="Q269" s="331"/>
      <c r="R269" s="331"/>
      <c r="S269" s="331"/>
    </row>
    <row r="270" spans="6:19" s="330" customFormat="1" ht="14.25">
      <c r="F270" s="341"/>
      <c r="K270" s="117"/>
      <c r="M270" s="333"/>
      <c r="N270" s="334"/>
      <c r="O270" s="331"/>
      <c r="P270" s="331"/>
      <c r="Q270" s="331"/>
      <c r="R270" s="331"/>
      <c r="S270" s="331"/>
    </row>
    <row r="271" spans="6:19" s="330" customFormat="1" ht="14.25">
      <c r="F271" s="341"/>
      <c r="K271" s="117"/>
      <c r="M271" s="333"/>
      <c r="N271" s="334"/>
      <c r="O271" s="331"/>
      <c r="P271" s="331"/>
      <c r="Q271" s="331"/>
      <c r="R271" s="331"/>
      <c r="S271" s="331"/>
    </row>
    <row r="272" spans="6:19" s="330" customFormat="1" ht="14.25">
      <c r="F272" s="341"/>
      <c r="K272" s="117"/>
      <c r="M272" s="333"/>
      <c r="N272" s="334"/>
      <c r="O272" s="331"/>
      <c r="P272" s="331"/>
      <c r="Q272" s="331"/>
      <c r="R272" s="331"/>
      <c r="S272" s="331"/>
    </row>
    <row r="273" spans="6:19" s="330" customFormat="1" ht="14.25">
      <c r="F273" s="341"/>
      <c r="K273" s="117"/>
      <c r="M273" s="333"/>
      <c r="N273" s="334"/>
      <c r="O273" s="331"/>
      <c r="P273" s="331"/>
      <c r="Q273" s="331"/>
      <c r="R273" s="331"/>
      <c r="S273" s="331"/>
    </row>
    <row r="274" spans="6:19" s="330" customFormat="1" ht="14.25">
      <c r="F274" s="341"/>
      <c r="K274" s="117"/>
      <c r="M274" s="333"/>
      <c r="N274" s="334"/>
      <c r="O274" s="331"/>
      <c r="P274" s="331"/>
      <c r="Q274" s="331"/>
      <c r="R274" s="331"/>
      <c r="S274" s="331"/>
    </row>
    <row r="275" spans="6:19" s="330" customFormat="1" ht="14.25">
      <c r="F275" s="341"/>
      <c r="K275" s="117"/>
      <c r="M275" s="333"/>
      <c r="N275" s="334"/>
      <c r="O275" s="331"/>
      <c r="P275" s="331"/>
      <c r="Q275" s="331"/>
      <c r="R275" s="331"/>
      <c r="S275" s="331"/>
    </row>
    <row r="276" spans="6:19" s="330" customFormat="1" ht="14.25">
      <c r="F276" s="341"/>
      <c r="K276" s="117"/>
      <c r="M276" s="333"/>
      <c r="N276" s="334"/>
      <c r="O276" s="331"/>
      <c r="P276" s="331"/>
      <c r="Q276" s="331"/>
      <c r="R276" s="331"/>
      <c r="S276" s="331"/>
    </row>
    <row r="277" spans="6:19" s="330" customFormat="1" ht="14.25">
      <c r="F277" s="341"/>
      <c r="K277" s="117"/>
      <c r="M277" s="333"/>
      <c r="N277" s="334"/>
      <c r="O277" s="331"/>
      <c r="P277" s="331"/>
      <c r="Q277" s="331"/>
      <c r="R277" s="331"/>
      <c r="S277" s="331"/>
    </row>
    <row r="278" spans="6:19" s="330" customFormat="1" ht="14.25">
      <c r="F278" s="341"/>
      <c r="K278" s="117"/>
      <c r="M278" s="333"/>
      <c r="N278" s="334"/>
      <c r="O278" s="331"/>
      <c r="P278" s="331"/>
      <c r="Q278" s="331"/>
      <c r="R278" s="331"/>
      <c r="S278" s="331"/>
    </row>
    <row r="279" spans="6:19" s="330" customFormat="1" ht="14.25">
      <c r="F279" s="341"/>
      <c r="K279" s="117"/>
      <c r="M279" s="333"/>
      <c r="N279" s="334"/>
      <c r="O279" s="331"/>
      <c r="P279" s="331"/>
      <c r="Q279" s="331"/>
      <c r="R279" s="331"/>
      <c r="S279" s="331"/>
    </row>
    <row r="280" spans="6:19" s="330" customFormat="1" ht="14.25">
      <c r="F280" s="341"/>
      <c r="K280" s="117"/>
      <c r="M280" s="333"/>
      <c r="N280" s="334"/>
      <c r="O280" s="331"/>
      <c r="P280" s="331"/>
      <c r="Q280" s="331"/>
      <c r="R280" s="331"/>
      <c r="S280" s="331"/>
    </row>
    <row r="281" spans="6:19" s="330" customFormat="1" ht="14.25">
      <c r="F281" s="341"/>
      <c r="K281" s="117"/>
      <c r="M281" s="333"/>
      <c r="N281" s="334"/>
      <c r="O281" s="331"/>
      <c r="P281" s="331"/>
      <c r="Q281" s="331"/>
      <c r="R281" s="331"/>
      <c r="S281" s="331"/>
    </row>
    <row r="282" spans="6:19" s="330" customFormat="1" ht="14.25">
      <c r="F282" s="341"/>
      <c r="K282" s="117"/>
      <c r="M282" s="333"/>
      <c r="N282" s="334"/>
      <c r="O282" s="331"/>
      <c r="P282" s="331"/>
      <c r="Q282" s="331"/>
      <c r="R282" s="331"/>
      <c r="S282" s="331"/>
    </row>
    <row r="283" spans="6:19" s="330" customFormat="1" ht="14.25">
      <c r="F283" s="341"/>
      <c r="K283" s="117"/>
      <c r="M283" s="333"/>
      <c r="N283" s="334"/>
      <c r="O283" s="331"/>
      <c r="P283" s="331"/>
      <c r="Q283" s="331"/>
      <c r="R283" s="331"/>
      <c r="S283" s="331"/>
    </row>
    <row r="284" spans="6:19" s="330" customFormat="1" ht="14.25">
      <c r="F284" s="341"/>
      <c r="K284" s="117"/>
      <c r="M284" s="333"/>
      <c r="N284" s="334"/>
      <c r="O284" s="331"/>
      <c r="P284" s="331"/>
      <c r="Q284" s="331"/>
      <c r="R284" s="331"/>
      <c r="S284" s="331"/>
    </row>
    <row r="285" spans="6:19" s="330" customFormat="1" ht="14.25">
      <c r="F285" s="341"/>
      <c r="K285" s="117"/>
      <c r="M285" s="333"/>
      <c r="N285" s="334"/>
      <c r="O285" s="331"/>
      <c r="P285" s="331"/>
      <c r="Q285" s="331"/>
      <c r="R285" s="331"/>
      <c r="S285" s="331"/>
    </row>
    <row r="286" spans="6:19" s="330" customFormat="1" ht="14.25">
      <c r="F286" s="341"/>
      <c r="K286" s="117"/>
      <c r="M286" s="333"/>
      <c r="N286" s="334"/>
      <c r="O286" s="331"/>
      <c r="P286" s="331"/>
      <c r="Q286" s="331"/>
      <c r="R286" s="331"/>
      <c r="S286" s="331"/>
    </row>
    <row r="287" spans="6:19" s="330" customFormat="1" ht="14.25">
      <c r="F287" s="341"/>
      <c r="K287" s="117"/>
      <c r="M287" s="333"/>
      <c r="N287" s="334"/>
      <c r="O287" s="331"/>
      <c r="P287" s="331"/>
      <c r="Q287" s="331"/>
      <c r="R287" s="331"/>
      <c r="S287" s="331"/>
    </row>
    <row r="288" spans="6:19" s="330" customFormat="1" ht="14.25">
      <c r="F288" s="341"/>
      <c r="K288" s="117"/>
      <c r="M288" s="333"/>
      <c r="N288" s="334"/>
      <c r="O288" s="331"/>
      <c r="P288" s="331"/>
      <c r="Q288" s="331"/>
      <c r="R288" s="331"/>
      <c r="S288" s="331"/>
    </row>
    <row r="289" spans="6:19" s="330" customFormat="1" ht="14.25">
      <c r="F289" s="341"/>
      <c r="K289" s="117"/>
      <c r="M289" s="333"/>
      <c r="N289" s="334"/>
      <c r="O289" s="331"/>
      <c r="P289" s="331"/>
      <c r="Q289" s="331"/>
      <c r="R289" s="331"/>
      <c r="S289" s="331"/>
    </row>
    <row r="290" spans="6:19" s="330" customFormat="1" ht="14.25">
      <c r="F290" s="341"/>
      <c r="K290" s="117"/>
      <c r="M290" s="333"/>
      <c r="N290" s="334"/>
      <c r="O290" s="331"/>
      <c r="P290" s="331"/>
      <c r="Q290" s="331"/>
      <c r="R290" s="331"/>
      <c r="S290" s="331"/>
    </row>
    <row r="291" spans="6:19" s="330" customFormat="1" ht="14.25">
      <c r="F291" s="341"/>
      <c r="K291" s="117"/>
      <c r="M291" s="333"/>
      <c r="N291" s="334"/>
      <c r="O291" s="331"/>
      <c r="P291" s="331"/>
      <c r="Q291" s="331"/>
      <c r="R291" s="331"/>
      <c r="S291" s="331"/>
    </row>
    <row r="292" spans="6:19" s="330" customFormat="1" ht="14.25">
      <c r="F292" s="341"/>
      <c r="K292" s="117"/>
      <c r="M292" s="333"/>
      <c r="N292" s="334"/>
      <c r="O292" s="331"/>
      <c r="P292" s="331"/>
      <c r="Q292" s="331"/>
      <c r="R292" s="331"/>
      <c r="S292" s="331"/>
    </row>
    <row r="293" spans="6:19" s="330" customFormat="1" ht="14.25">
      <c r="F293" s="341"/>
      <c r="K293" s="117"/>
      <c r="M293" s="333"/>
      <c r="N293" s="334"/>
      <c r="O293" s="331"/>
      <c r="P293" s="331"/>
      <c r="Q293" s="331"/>
      <c r="R293" s="331"/>
      <c r="S293" s="331"/>
    </row>
    <row r="294" spans="6:19" s="330" customFormat="1" ht="14.25">
      <c r="F294" s="341"/>
      <c r="K294" s="117"/>
      <c r="M294" s="333"/>
      <c r="N294" s="334"/>
      <c r="O294" s="331"/>
      <c r="P294" s="331"/>
      <c r="Q294" s="331"/>
      <c r="R294" s="331"/>
      <c r="S294" s="331"/>
    </row>
    <row r="295" spans="6:19" s="330" customFormat="1" ht="14.25">
      <c r="F295" s="341"/>
      <c r="K295" s="117"/>
      <c r="M295" s="333"/>
      <c r="N295" s="334"/>
      <c r="O295" s="331"/>
      <c r="P295" s="331"/>
      <c r="Q295" s="331"/>
      <c r="R295" s="331"/>
      <c r="S295" s="331"/>
    </row>
    <row r="296" spans="6:19" s="330" customFormat="1" ht="14.25">
      <c r="F296" s="341"/>
      <c r="K296" s="117"/>
      <c r="M296" s="333"/>
      <c r="N296" s="334"/>
      <c r="O296" s="331"/>
      <c r="P296" s="331"/>
      <c r="Q296" s="331"/>
      <c r="R296" s="331"/>
      <c r="S296" s="331"/>
    </row>
    <row r="297" spans="6:19" s="330" customFormat="1" ht="14.25">
      <c r="F297" s="341"/>
      <c r="K297" s="117"/>
      <c r="M297" s="333"/>
      <c r="N297" s="334"/>
      <c r="O297" s="331"/>
      <c r="P297" s="331"/>
      <c r="Q297" s="331"/>
      <c r="R297" s="331"/>
      <c r="S297" s="331"/>
    </row>
  </sheetData>
  <sheetProtection/>
  <mergeCells count="7">
    <mergeCell ref="B3:L3"/>
    <mergeCell ref="B4:L4"/>
    <mergeCell ref="B10:D10"/>
    <mergeCell ref="B7:D8"/>
    <mergeCell ref="E7:E8"/>
    <mergeCell ref="G7:L7"/>
    <mergeCell ref="K8:L8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51" r:id="rId2"/>
  <ignoredErrors>
    <ignoredError sqref="E20 F10 F4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35"/>
  <sheetViews>
    <sheetView showGridLines="0" zoomScale="87" zoomScaleNormal="87" zoomScaleSheetLayoutView="80" zoomScalePageLayoutView="0" workbookViewId="0" topLeftCell="A1">
      <pane xSplit="1" ySplit="8" topLeftCell="B9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P85" sqref="P85"/>
    </sheetView>
  </sheetViews>
  <sheetFormatPr defaultColWidth="9.140625" defaultRowHeight="12.75"/>
  <cols>
    <col min="1" max="1" width="0.9921875" style="133" customWidth="1"/>
    <col min="2" max="2" width="0.85546875" style="133" customWidth="1"/>
    <col min="3" max="3" width="27.140625" style="133" customWidth="1"/>
    <col min="4" max="4" width="24.8515625" style="133" customWidth="1"/>
    <col min="5" max="5" width="26.140625" style="133" customWidth="1"/>
    <col min="6" max="6" width="0.13671875" style="133" customWidth="1"/>
    <col min="7" max="7" width="14.7109375" style="133" customWidth="1"/>
    <col min="8" max="11" width="13.8515625" style="133" customWidth="1"/>
    <col min="12" max="12" width="1.1484375" style="133" customWidth="1"/>
    <col min="13" max="13" width="4.57421875" style="311" customWidth="1"/>
    <col min="14" max="23" width="9.140625" style="310" customWidth="1"/>
    <col min="24" max="16384" width="9.140625" style="133" customWidth="1"/>
  </cols>
  <sheetData>
    <row r="2" spans="2:23" s="106" customFormat="1" ht="16.5">
      <c r="B2" s="478" t="s">
        <v>266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342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2:23" s="106" customFormat="1" ht="16.5">
      <c r="B3" s="478" t="s">
        <v>289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342"/>
      <c r="N3" s="316"/>
      <c r="O3" s="316"/>
      <c r="P3" s="316"/>
      <c r="Q3" s="316"/>
      <c r="R3" s="316"/>
      <c r="S3" s="316"/>
      <c r="T3" s="316"/>
      <c r="U3" s="316"/>
      <c r="V3" s="316"/>
      <c r="W3" s="316"/>
    </row>
    <row r="4" spans="2:23" s="106" customFormat="1" ht="16.5">
      <c r="B4" s="478" t="s">
        <v>145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342"/>
      <c r="N4" s="316"/>
      <c r="O4" s="316"/>
      <c r="P4" s="316"/>
      <c r="Q4" s="316"/>
      <c r="R4" s="316"/>
      <c r="S4" s="316"/>
      <c r="T4" s="316"/>
      <c r="U4" s="316"/>
      <c r="V4" s="316"/>
      <c r="W4" s="316"/>
    </row>
    <row r="5" spans="13:23" s="106" customFormat="1" ht="14.25" customHeight="1">
      <c r="M5" s="343"/>
      <c r="N5" s="316"/>
      <c r="O5" s="316"/>
      <c r="P5" s="316"/>
      <c r="Q5" s="316"/>
      <c r="R5" s="316"/>
      <c r="S5" s="316"/>
      <c r="T5" s="316"/>
      <c r="U5" s="316"/>
      <c r="V5" s="316"/>
      <c r="W5" s="316"/>
    </row>
    <row r="6" spans="2:23" s="107" customFormat="1" ht="21.75" customHeight="1">
      <c r="B6" s="486" t="s">
        <v>170</v>
      </c>
      <c r="C6" s="487"/>
      <c r="D6" s="481" t="s">
        <v>1</v>
      </c>
      <c r="E6" s="264" t="s">
        <v>155</v>
      </c>
      <c r="F6" s="481" t="s">
        <v>133</v>
      </c>
      <c r="G6" s="483" t="s">
        <v>149</v>
      </c>
      <c r="H6" s="484"/>
      <c r="I6" s="484"/>
      <c r="J6" s="484"/>
      <c r="K6" s="484"/>
      <c r="L6" s="485"/>
      <c r="M6" s="344"/>
      <c r="N6" s="320"/>
      <c r="O6" s="320"/>
      <c r="P6" s="320"/>
      <c r="Q6" s="320"/>
      <c r="R6" s="320"/>
      <c r="S6" s="320"/>
      <c r="T6" s="320"/>
      <c r="U6" s="320"/>
      <c r="V6" s="320"/>
      <c r="W6" s="320"/>
    </row>
    <row r="7" spans="2:23" s="107" customFormat="1" ht="21.75" customHeight="1">
      <c r="B7" s="488"/>
      <c r="C7" s="489"/>
      <c r="D7" s="482"/>
      <c r="E7" s="265" t="s">
        <v>156</v>
      </c>
      <c r="F7" s="482"/>
      <c r="G7" s="152" t="s">
        <v>1</v>
      </c>
      <c r="H7" s="152" t="s">
        <v>152</v>
      </c>
      <c r="I7" s="271" t="s">
        <v>150</v>
      </c>
      <c r="J7" s="271" t="s">
        <v>151</v>
      </c>
      <c r="K7" s="483" t="s">
        <v>157</v>
      </c>
      <c r="L7" s="485"/>
      <c r="M7" s="344"/>
      <c r="N7" s="320"/>
      <c r="O7" s="320"/>
      <c r="P7" s="320"/>
      <c r="Q7" s="320"/>
      <c r="R7" s="320"/>
      <c r="S7" s="320"/>
      <c r="T7" s="320"/>
      <c r="U7" s="320"/>
      <c r="V7" s="320"/>
      <c r="W7" s="320"/>
    </row>
    <row r="8" spans="2:23" s="107" customFormat="1" ht="8.25" customHeight="1">
      <c r="B8" s="109"/>
      <c r="C8" s="110"/>
      <c r="D8" s="110"/>
      <c r="E8" s="110"/>
      <c r="F8" s="110"/>
      <c r="G8" s="110"/>
      <c r="H8" s="110"/>
      <c r="I8" s="110"/>
      <c r="J8" s="110"/>
      <c r="K8" s="110"/>
      <c r="L8" s="114"/>
      <c r="M8" s="319"/>
      <c r="N8" s="320"/>
      <c r="O8" s="320"/>
      <c r="P8" s="320"/>
      <c r="Q8" s="320"/>
      <c r="R8" s="320"/>
      <c r="S8" s="320"/>
      <c r="T8" s="320"/>
      <c r="U8" s="320"/>
      <c r="V8" s="320"/>
      <c r="W8" s="320"/>
    </row>
    <row r="9" spans="2:23" s="107" customFormat="1" ht="15.75">
      <c r="B9" s="479" t="s">
        <v>1</v>
      </c>
      <c r="C9" s="480"/>
      <c r="D9" s="433">
        <f>SUM(D11:D62)</f>
        <v>7209566.482555991</v>
      </c>
      <c r="E9" s="433">
        <f>SUM(E11:E62)</f>
        <v>6073326.228600001</v>
      </c>
      <c r="F9" s="434" t="s">
        <v>21</v>
      </c>
      <c r="G9" s="433">
        <f>SUM(H9:K9)</f>
        <v>1136240.253955991</v>
      </c>
      <c r="H9" s="433">
        <f>SUM(H11:H62)</f>
        <v>370081.29280599125</v>
      </c>
      <c r="I9" s="433">
        <f>SUM(I11:I62)</f>
        <v>134516.44944999996</v>
      </c>
      <c r="J9" s="433">
        <f>SUM(J11:J62)</f>
        <v>569648.7</v>
      </c>
      <c r="K9" s="433">
        <f>SUM(K11:K62)</f>
        <v>61993.8117</v>
      </c>
      <c r="L9" s="153"/>
      <c r="M9" s="319"/>
      <c r="N9" s="320"/>
      <c r="O9" s="320"/>
      <c r="P9" s="320"/>
      <c r="Q9" s="320"/>
      <c r="R9" s="320"/>
      <c r="S9" s="320"/>
      <c r="T9" s="320"/>
      <c r="U9" s="320"/>
      <c r="V9" s="320"/>
      <c r="W9" s="320"/>
    </row>
    <row r="10" spans="2:23" s="117" customFormat="1" ht="6.75" customHeight="1">
      <c r="B10" s="118"/>
      <c r="C10" s="119"/>
      <c r="D10" s="122"/>
      <c r="E10" s="122"/>
      <c r="F10" s="122"/>
      <c r="G10" s="122"/>
      <c r="H10" s="122"/>
      <c r="I10" s="122"/>
      <c r="J10" s="122"/>
      <c r="K10" s="121"/>
      <c r="L10" s="120"/>
      <c r="M10" s="334"/>
      <c r="N10" s="330"/>
      <c r="O10" s="330"/>
      <c r="P10" s="330"/>
      <c r="Q10" s="330"/>
      <c r="R10" s="330"/>
      <c r="S10" s="330"/>
      <c r="T10" s="330"/>
      <c r="U10" s="330"/>
      <c r="V10" s="330"/>
      <c r="W10" s="330"/>
    </row>
    <row r="11" spans="2:23" s="117" customFormat="1" ht="15" customHeight="1">
      <c r="B11" s="118"/>
      <c r="C11" s="119" t="s">
        <v>104</v>
      </c>
      <c r="D11" s="383">
        <f aca="true" t="shared" si="0" ref="D11:D42">SUM(E11,G11)</f>
        <v>20029</v>
      </c>
      <c r="E11" s="123"/>
      <c r="F11" s="123" t="s">
        <v>21</v>
      </c>
      <c r="G11" s="123">
        <f aca="true" t="shared" si="1" ref="G11:G42">SUM(H11:K11)</f>
        <v>20029</v>
      </c>
      <c r="H11" s="286">
        <v>10524</v>
      </c>
      <c r="I11" s="286" t="s">
        <v>21</v>
      </c>
      <c r="J11" s="286">
        <f>3+2795+4005+2702</f>
        <v>9505</v>
      </c>
      <c r="K11" s="286" t="s">
        <v>21</v>
      </c>
      <c r="L11" s="120"/>
      <c r="M11" s="334"/>
      <c r="N11" s="330"/>
      <c r="O11" s="330"/>
      <c r="P11" s="330"/>
      <c r="Q11" s="330"/>
      <c r="R11" s="330"/>
      <c r="S11" s="330"/>
      <c r="T11" s="330"/>
      <c r="U11" s="330"/>
      <c r="V11" s="330"/>
      <c r="W11" s="330"/>
    </row>
    <row r="12" spans="2:23" s="117" customFormat="1" ht="15" customHeight="1">
      <c r="B12" s="118"/>
      <c r="C12" s="119" t="s">
        <v>105</v>
      </c>
      <c r="D12" s="383">
        <f t="shared" si="0"/>
        <v>11257.643</v>
      </c>
      <c r="E12" s="123"/>
      <c r="F12" s="123" t="s">
        <v>21</v>
      </c>
      <c r="G12" s="123">
        <f t="shared" si="1"/>
        <v>11257.643</v>
      </c>
      <c r="H12" s="286">
        <v>11199</v>
      </c>
      <c r="I12" s="286">
        <v>2.643</v>
      </c>
      <c r="J12" s="286">
        <v>56</v>
      </c>
      <c r="K12" s="286" t="s">
        <v>21</v>
      </c>
      <c r="L12" s="120"/>
      <c r="M12" s="334"/>
      <c r="N12" s="330"/>
      <c r="O12" s="330"/>
      <c r="P12" s="330"/>
      <c r="Q12" s="330"/>
      <c r="R12" s="330"/>
      <c r="S12" s="330"/>
      <c r="T12" s="330"/>
      <c r="U12" s="330"/>
      <c r="V12" s="330"/>
      <c r="W12" s="330"/>
    </row>
    <row r="13" spans="2:23" s="117" customFormat="1" ht="15" customHeight="1">
      <c r="B13" s="118"/>
      <c r="C13" s="119" t="s">
        <v>106</v>
      </c>
      <c r="D13" s="383">
        <f t="shared" si="0"/>
        <v>353</v>
      </c>
      <c r="E13" s="123"/>
      <c r="F13" s="123" t="s">
        <v>21</v>
      </c>
      <c r="G13" s="123">
        <f t="shared" si="1"/>
        <v>353</v>
      </c>
      <c r="H13" s="286">
        <v>353</v>
      </c>
      <c r="I13" s="286" t="s">
        <v>21</v>
      </c>
      <c r="J13" s="286"/>
      <c r="K13" s="286" t="s">
        <v>21</v>
      </c>
      <c r="L13" s="120"/>
      <c r="M13" s="334"/>
      <c r="N13" s="341"/>
      <c r="O13" s="330"/>
      <c r="P13" s="330"/>
      <c r="Q13" s="330"/>
      <c r="R13" s="330"/>
      <c r="S13" s="330"/>
      <c r="T13" s="330"/>
      <c r="U13" s="330"/>
      <c r="V13" s="330"/>
      <c r="W13" s="330"/>
    </row>
    <row r="14" spans="2:23" s="117" customFormat="1" ht="15" customHeight="1">
      <c r="B14" s="118"/>
      <c r="C14" s="135" t="s">
        <v>107</v>
      </c>
      <c r="D14" s="123">
        <f t="shared" si="0"/>
        <v>5882.123</v>
      </c>
      <c r="E14" s="123"/>
      <c r="F14" s="123" t="s">
        <v>21</v>
      </c>
      <c r="G14" s="123">
        <f t="shared" si="1"/>
        <v>5882.123</v>
      </c>
      <c r="H14" s="286">
        <v>4019</v>
      </c>
      <c r="I14" s="286">
        <v>68.123</v>
      </c>
      <c r="J14" s="286">
        <v>1795</v>
      </c>
      <c r="K14" s="286" t="s">
        <v>21</v>
      </c>
      <c r="L14" s="120"/>
      <c r="M14" s="334"/>
      <c r="N14" s="330"/>
      <c r="O14" s="330"/>
      <c r="P14" s="330"/>
      <c r="Q14" s="330"/>
      <c r="R14" s="330"/>
      <c r="S14" s="330"/>
      <c r="T14" s="330"/>
      <c r="U14" s="330"/>
      <c r="V14" s="330"/>
      <c r="W14" s="330"/>
    </row>
    <row r="15" spans="2:23" s="117" customFormat="1" ht="15" customHeight="1">
      <c r="B15" s="118"/>
      <c r="C15" s="135" t="s">
        <v>108</v>
      </c>
      <c r="D15" s="123">
        <f t="shared" si="0"/>
        <v>11717</v>
      </c>
      <c r="E15" s="123"/>
      <c r="F15" s="123" t="s">
        <v>21</v>
      </c>
      <c r="G15" s="123">
        <f t="shared" si="1"/>
        <v>11717</v>
      </c>
      <c r="H15" s="286">
        <v>11717</v>
      </c>
      <c r="I15" s="286" t="s">
        <v>21</v>
      </c>
      <c r="J15" s="286"/>
      <c r="K15" s="286" t="s">
        <v>21</v>
      </c>
      <c r="L15" s="120"/>
      <c r="M15" s="334"/>
      <c r="N15" s="330"/>
      <c r="O15" s="330"/>
      <c r="P15" s="330"/>
      <c r="Q15" s="330"/>
      <c r="R15" s="330"/>
      <c r="S15" s="330"/>
      <c r="T15" s="330"/>
      <c r="U15" s="330"/>
      <c r="V15" s="330"/>
      <c r="W15" s="330"/>
    </row>
    <row r="16" spans="2:23" s="117" customFormat="1" ht="15" customHeight="1">
      <c r="B16" s="118"/>
      <c r="C16" s="135" t="s">
        <v>109</v>
      </c>
      <c r="D16" s="123">
        <f t="shared" si="0"/>
        <v>201</v>
      </c>
      <c r="E16" s="123"/>
      <c r="F16" s="123" t="s">
        <v>21</v>
      </c>
      <c r="G16" s="123">
        <f t="shared" si="1"/>
        <v>201</v>
      </c>
      <c r="H16" s="286">
        <v>201</v>
      </c>
      <c r="I16" s="286" t="s">
        <v>21</v>
      </c>
      <c r="J16" s="286"/>
      <c r="K16" s="286" t="s">
        <v>21</v>
      </c>
      <c r="L16" s="120"/>
      <c r="M16" s="334"/>
      <c r="N16" s="330"/>
      <c r="O16" s="330"/>
      <c r="P16" s="330"/>
      <c r="Q16" s="330"/>
      <c r="R16" s="330"/>
      <c r="S16" s="330"/>
      <c r="T16" s="330"/>
      <c r="U16" s="330"/>
      <c r="V16" s="330"/>
      <c r="W16" s="330"/>
    </row>
    <row r="17" spans="2:23" s="117" customFormat="1" ht="15" customHeight="1">
      <c r="B17" s="118"/>
      <c r="C17" s="135" t="s">
        <v>110</v>
      </c>
      <c r="D17" s="123">
        <f t="shared" si="0"/>
        <v>3592</v>
      </c>
      <c r="E17" s="123"/>
      <c r="F17" s="123" t="s">
        <v>21</v>
      </c>
      <c r="G17" s="123">
        <f t="shared" si="1"/>
        <v>3592</v>
      </c>
      <c r="H17" s="286">
        <v>3586</v>
      </c>
      <c r="I17" s="286" t="s">
        <v>21</v>
      </c>
      <c r="J17" s="286">
        <v>6</v>
      </c>
      <c r="K17" s="286" t="s">
        <v>21</v>
      </c>
      <c r="L17" s="120"/>
      <c r="M17" s="334"/>
      <c r="N17" s="330"/>
      <c r="O17" s="330"/>
      <c r="P17" s="330"/>
      <c r="Q17" s="330"/>
      <c r="R17" s="330"/>
      <c r="S17" s="330"/>
      <c r="T17" s="330"/>
      <c r="U17" s="330"/>
      <c r="V17" s="330"/>
      <c r="W17" s="330"/>
    </row>
    <row r="18" spans="2:23" s="117" customFormat="1" ht="15" customHeight="1">
      <c r="B18" s="118"/>
      <c r="C18" s="135" t="s">
        <v>111</v>
      </c>
      <c r="D18" s="123">
        <f t="shared" si="0"/>
        <v>7633</v>
      </c>
      <c r="E18" s="123"/>
      <c r="F18" s="123" t="s">
        <v>21</v>
      </c>
      <c r="G18" s="123">
        <f t="shared" si="1"/>
        <v>7633</v>
      </c>
      <c r="H18" s="286">
        <v>7633</v>
      </c>
      <c r="I18" s="286" t="s">
        <v>21</v>
      </c>
      <c r="J18" s="286"/>
      <c r="K18" s="286" t="s">
        <v>21</v>
      </c>
      <c r="L18" s="120"/>
      <c r="M18" s="334"/>
      <c r="N18" s="330"/>
      <c r="O18" s="330"/>
      <c r="P18" s="330"/>
      <c r="Q18" s="330"/>
      <c r="R18" s="330"/>
      <c r="S18" s="330"/>
      <c r="T18" s="330"/>
      <c r="U18" s="330"/>
      <c r="V18" s="330"/>
      <c r="W18" s="330"/>
    </row>
    <row r="19" spans="2:23" s="117" customFormat="1" ht="15" customHeight="1">
      <c r="B19" s="118"/>
      <c r="C19" s="135" t="s">
        <v>112</v>
      </c>
      <c r="D19" s="123">
        <f t="shared" si="0"/>
        <v>16366</v>
      </c>
      <c r="E19" s="123"/>
      <c r="F19" s="123" t="s">
        <v>21</v>
      </c>
      <c r="G19" s="123">
        <f t="shared" si="1"/>
        <v>16366</v>
      </c>
      <c r="H19" s="286">
        <v>16266</v>
      </c>
      <c r="I19" s="286" t="s">
        <v>21</v>
      </c>
      <c r="J19" s="286">
        <v>100</v>
      </c>
      <c r="K19" s="286" t="s">
        <v>21</v>
      </c>
      <c r="L19" s="120"/>
      <c r="M19" s="334"/>
      <c r="N19" s="330"/>
      <c r="O19" s="330"/>
      <c r="P19" s="330"/>
      <c r="Q19" s="330"/>
      <c r="R19" s="330"/>
      <c r="S19" s="330"/>
      <c r="T19" s="330"/>
      <c r="U19" s="330"/>
      <c r="V19" s="330"/>
      <c r="W19" s="330"/>
    </row>
    <row r="20" spans="2:23" s="117" customFormat="1" ht="15" customHeight="1">
      <c r="B20" s="118"/>
      <c r="C20" s="135" t="s">
        <v>113</v>
      </c>
      <c r="D20" s="123">
        <f t="shared" si="0"/>
        <v>16715</v>
      </c>
      <c r="E20" s="123"/>
      <c r="F20" s="123" t="s">
        <v>21</v>
      </c>
      <c r="G20" s="123">
        <f t="shared" si="1"/>
        <v>16715</v>
      </c>
      <c r="H20" s="286">
        <v>16711</v>
      </c>
      <c r="I20" s="286" t="s">
        <v>21</v>
      </c>
      <c r="J20" s="286">
        <v>4</v>
      </c>
      <c r="K20" s="286" t="s">
        <v>21</v>
      </c>
      <c r="L20" s="120"/>
      <c r="M20" s="334"/>
      <c r="N20" s="330"/>
      <c r="O20" s="330"/>
      <c r="P20" s="330"/>
      <c r="Q20" s="330"/>
      <c r="R20" s="330"/>
      <c r="S20" s="330"/>
      <c r="T20" s="330"/>
      <c r="U20" s="330"/>
      <c r="V20" s="330"/>
      <c r="W20" s="330"/>
    </row>
    <row r="21" spans="2:23" s="117" customFormat="1" ht="15" customHeight="1">
      <c r="B21" s="118"/>
      <c r="C21" s="135" t="s">
        <v>114</v>
      </c>
      <c r="D21" s="123">
        <f t="shared" si="0"/>
        <v>1263</v>
      </c>
      <c r="E21" s="123"/>
      <c r="F21" s="123" t="s">
        <v>21</v>
      </c>
      <c r="G21" s="123">
        <f t="shared" si="1"/>
        <v>1263</v>
      </c>
      <c r="H21" s="286">
        <v>1263</v>
      </c>
      <c r="I21" s="286" t="s">
        <v>21</v>
      </c>
      <c r="J21" s="286"/>
      <c r="K21" s="286" t="s">
        <v>21</v>
      </c>
      <c r="L21" s="120"/>
      <c r="M21" s="334"/>
      <c r="N21" s="330"/>
      <c r="O21" s="330"/>
      <c r="P21" s="330"/>
      <c r="Q21" s="330"/>
      <c r="R21" s="330"/>
      <c r="S21" s="330"/>
      <c r="T21" s="330"/>
      <c r="U21" s="330"/>
      <c r="V21" s="330"/>
      <c r="W21" s="330"/>
    </row>
    <row r="22" spans="2:23" s="117" customFormat="1" ht="15" customHeight="1">
      <c r="B22" s="118"/>
      <c r="C22" s="135" t="s">
        <v>137</v>
      </c>
      <c r="D22" s="123">
        <f t="shared" si="0"/>
        <v>0</v>
      </c>
      <c r="E22" s="123"/>
      <c r="F22" s="435" t="s">
        <v>21</v>
      </c>
      <c r="G22" s="123">
        <f t="shared" si="1"/>
        <v>0</v>
      </c>
      <c r="H22" s="286" t="s">
        <v>303</v>
      </c>
      <c r="I22" s="286" t="s">
        <v>21</v>
      </c>
      <c r="J22" s="286"/>
      <c r="K22" s="286" t="s">
        <v>21</v>
      </c>
      <c r="L22" s="120"/>
      <c r="M22" s="334"/>
      <c r="N22" s="330"/>
      <c r="O22" s="330"/>
      <c r="P22" s="330"/>
      <c r="Q22" s="330"/>
      <c r="R22" s="330"/>
      <c r="S22" s="330"/>
      <c r="T22" s="330"/>
      <c r="U22" s="330"/>
      <c r="V22" s="330"/>
      <c r="W22" s="330"/>
    </row>
    <row r="23" spans="2:23" s="117" customFormat="1" ht="15" customHeight="1">
      <c r="B23" s="118"/>
      <c r="C23" s="135" t="s">
        <v>115</v>
      </c>
      <c r="D23" s="123">
        <f t="shared" si="0"/>
        <v>22295.1227</v>
      </c>
      <c r="E23" s="123"/>
      <c r="F23" s="123" t="s">
        <v>21</v>
      </c>
      <c r="G23" s="123">
        <f t="shared" si="1"/>
        <v>22295.1227</v>
      </c>
      <c r="H23" s="286">
        <v>17657</v>
      </c>
      <c r="I23" s="286">
        <v>412.12269999999995</v>
      </c>
      <c r="J23" s="286">
        <v>4226</v>
      </c>
      <c r="K23" s="286" t="s">
        <v>21</v>
      </c>
      <c r="L23" s="120"/>
      <c r="M23" s="334"/>
      <c r="N23" s="330"/>
      <c r="O23" s="330"/>
      <c r="P23" s="330"/>
      <c r="Q23" s="330"/>
      <c r="R23" s="330"/>
      <c r="S23" s="330"/>
      <c r="T23" s="330"/>
      <c r="U23" s="330"/>
      <c r="V23" s="330"/>
      <c r="W23" s="330"/>
    </row>
    <row r="24" spans="2:23" s="117" customFormat="1" ht="15" customHeight="1">
      <c r="B24" s="118"/>
      <c r="C24" s="135" t="s">
        <v>116</v>
      </c>
      <c r="D24" s="123">
        <f t="shared" si="0"/>
        <v>0</v>
      </c>
      <c r="E24" s="123"/>
      <c r="F24" s="123" t="s">
        <v>21</v>
      </c>
      <c r="G24" s="123">
        <f t="shared" si="1"/>
        <v>0</v>
      </c>
      <c r="H24" s="286" t="s">
        <v>303</v>
      </c>
      <c r="I24" s="286" t="s">
        <v>21</v>
      </c>
      <c r="J24" s="439"/>
      <c r="K24" s="286" t="s">
        <v>21</v>
      </c>
      <c r="L24" s="120"/>
      <c r="M24" s="334"/>
      <c r="N24" s="330"/>
      <c r="O24" s="330"/>
      <c r="P24" s="330"/>
      <c r="Q24" s="330"/>
      <c r="R24" s="330"/>
      <c r="S24" s="330"/>
      <c r="T24" s="330"/>
      <c r="U24" s="330"/>
      <c r="V24" s="330"/>
      <c r="W24" s="330"/>
    </row>
    <row r="25" spans="2:23" s="117" customFormat="1" ht="15" customHeight="1">
      <c r="B25" s="118"/>
      <c r="C25" s="135" t="s">
        <v>117</v>
      </c>
      <c r="D25" s="123">
        <f t="shared" si="0"/>
        <v>461293.077</v>
      </c>
      <c r="E25" s="123">
        <v>86302.104</v>
      </c>
      <c r="F25" s="123" t="s">
        <v>21</v>
      </c>
      <c r="G25" s="123">
        <f t="shared" si="1"/>
        <v>374990.973</v>
      </c>
      <c r="H25" s="286">
        <v>14875</v>
      </c>
      <c r="I25" s="286">
        <v>24757.10399999999</v>
      </c>
      <c r="J25" s="286">
        <f>331336+237</f>
        <v>331573</v>
      </c>
      <c r="K25" s="436">
        <v>3785.8689999999992</v>
      </c>
      <c r="L25" s="120"/>
      <c r="M25" s="334"/>
      <c r="N25" s="330"/>
      <c r="O25" s="330"/>
      <c r="P25" s="330"/>
      <c r="Q25" s="330"/>
      <c r="R25" s="330"/>
      <c r="S25" s="330"/>
      <c r="T25" s="330"/>
      <c r="U25" s="330"/>
      <c r="V25" s="330"/>
      <c r="W25" s="330"/>
    </row>
    <row r="26" spans="2:23" s="117" customFormat="1" ht="15" customHeight="1">
      <c r="B26" s="118"/>
      <c r="C26" s="135" t="s">
        <v>28</v>
      </c>
      <c r="D26" s="123">
        <f t="shared" si="0"/>
        <v>75264.379</v>
      </c>
      <c r="E26" s="123">
        <v>68840.655</v>
      </c>
      <c r="F26" s="123" t="s">
        <v>21</v>
      </c>
      <c r="G26" s="123">
        <f t="shared" si="1"/>
        <v>6423.724</v>
      </c>
      <c r="H26" s="286" t="s">
        <v>303</v>
      </c>
      <c r="I26" s="286">
        <v>20.724</v>
      </c>
      <c r="J26" s="286">
        <f>5458+945</f>
        <v>6403</v>
      </c>
      <c r="K26" s="286" t="s">
        <v>21</v>
      </c>
      <c r="L26" s="120"/>
      <c r="M26" s="334"/>
      <c r="N26" s="330"/>
      <c r="O26" s="330"/>
      <c r="P26" s="330"/>
      <c r="Q26" s="330"/>
      <c r="R26" s="330"/>
      <c r="S26" s="330"/>
      <c r="T26" s="330"/>
      <c r="U26" s="330"/>
      <c r="V26" s="330"/>
      <c r="W26" s="330"/>
    </row>
    <row r="27" spans="2:23" s="117" customFormat="1" ht="15" customHeight="1">
      <c r="B27" s="118"/>
      <c r="C27" s="135" t="s">
        <v>27</v>
      </c>
      <c r="D27" s="123">
        <f t="shared" si="0"/>
        <v>46556.831</v>
      </c>
      <c r="E27" s="123" t="s">
        <v>21</v>
      </c>
      <c r="F27" s="123" t="s">
        <v>21</v>
      </c>
      <c r="G27" s="123">
        <f t="shared" si="1"/>
        <v>46556.831</v>
      </c>
      <c r="H27" s="286">
        <v>6873</v>
      </c>
      <c r="I27" s="286">
        <v>3126.8549999999996</v>
      </c>
      <c r="J27" s="286">
        <f>16048+11241+2606</f>
        <v>29895</v>
      </c>
      <c r="K27" s="436">
        <f>3552.976+3109</f>
        <v>6661.976000000001</v>
      </c>
      <c r="L27" s="120"/>
      <c r="M27" s="334"/>
      <c r="N27" s="330"/>
      <c r="O27" s="330"/>
      <c r="P27" s="330"/>
      <c r="Q27" s="330"/>
      <c r="R27" s="330"/>
      <c r="S27" s="330"/>
      <c r="T27" s="330"/>
      <c r="U27" s="330"/>
      <c r="V27" s="330"/>
      <c r="W27" s="330"/>
    </row>
    <row r="28" spans="2:23" s="124" customFormat="1" ht="15" customHeight="1">
      <c r="B28" s="179"/>
      <c r="C28" s="135" t="s">
        <v>136</v>
      </c>
      <c r="D28" s="123">
        <f t="shared" si="0"/>
        <v>22338</v>
      </c>
      <c r="E28" s="123"/>
      <c r="F28" s="435" t="s">
        <v>21</v>
      </c>
      <c r="G28" s="123">
        <f t="shared" si="1"/>
        <v>22338</v>
      </c>
      <c r="H28" s="286">
        <v>22338</v>
      </c>
      <c r="I28" s="286" t="s">
        <v>21</v>
      </c>
      <c r="J28" s="286"/>
      <c r="K28" s="286" t="s">
        <v>21</v>
      </c>
      <c r="L28" s="180"/>
      <c r="M28" s="334"/>
      <c r="N28" s="333"/>
      <c r="O28" s="333"/>
      <c r="P28" s="333"/>
      <c r="Q28" s="333"/>
      <c r="R28" s="333"/>
      <c r="S28" s="333"/>
      <c r="T28" s="333"/>
      <c r="U28" s="333"/>
      <c r="V28" s="333"/>
      <c r="W28" s="333"/>
    </row>
    <row r="29" spans="2:23" s="117" customFormat="1" ht="15" customHeight="1">
      <c r="B29" s="118"/>
      <c r="C29" s="135" t="s">
        <v>118</v>
      </c>
      <c r="D29" s="123">
        <f t="shared" si="0"/>
        <v>5399.143096327088</v>
      </c>
      <c r="E29" s="123"/>
      <c r="F29" s="123" t="s">
        <v>21</v>
      </c>
      <c r="G29" s="123">
        <f t="shared" si="1"/>
        <v>5399.143096327088</v>
      </c>
      <c r="H29" s="286">
        <v>5203.433096327088</v>
      </c>
      <c r="I29" s="286">
        <v>5.71</v>
      </c>
      <c r="J29" s="286">
        <v>6</v>
      </c>
      <c r="K29" s="436">
        <v>184</v>
      </c>
      <c r="L29" s="120"/>
      <c r="M29" s="334"/>
      <c r="N29" s="330"/>
      <c r="O29" s="330"/>
      <c r="P29" s="330"/>
      <c r="Q29" s="330"/>
      <c r="R29" s="330"/>
      <c r="S29" s="330"/>
      <c r="T29" s="330"/>
      <c r="U29" s="330"/>
      <c r="V29" s="330"/>
      <c r="W29" s="330"/>
    </row>
    <row r="30" spans="2:23" s="117" customFormat="1" ht="15" customHeight="1">
      <c r="B30" s="118"/>
      <c r="C30" s="135" t="s">
        <v>119</v>
      </c>
      <c r="D30" s="123">
        <f t="shared" si="0"/>
        <v>614.184824073199</v>
      </c>
      <c r="E30" s="123"/>
      <c r="F30" s="123" t="s">
        <v>21</v>
      </c>
      <c r="G30" s="123">
        <f t="shared" si="1"/>
        <v>614.184824073199</v>
      </c>
      <c r="H30" s="286">
        <v>614.184824073199</v>
      </c>
      <c r="I30" s="286" t="s">
        <v>21</v>
      </c>
      <c r="J30" s="286"/>
      <c r="K30" s="286" t="s">
        <v>21</v>
      </c>
      <c r="L30" s="120"/>
      <c r="M30" s="334"/>
      <c r="N30" s="330"/>
      <c r="O30" s="330"/>
      <c r="P30" s="330"/>
      <c r="Q30" s="330"/>
      <c r="R30" s="330"/>
      <c r="S30" s="330"/>
      <c r="T30" s="330"/>
      <c r="U30" s="330"/>
      <c r="V30" s="330"/>
      <c r="W30" s="330"/>
    </row>
    <row r="31" spans="2:23" s="117" customFormat="1" ht="15" customHeight="1">
      <c r="B31" s="118"/>
      <c r="C31" s="135" t="s">
        <v>60</v>
      </c>
      <c r="D31" s="123">
        <f t="shared" si="0"/>
        <v>6266.1825381665</v>
      </c>
      <c r="E31" s="123"/>
      <c r="F31" s="123" t="s">
        <v>21</v>
      </c>
      <c r="G31" s="123">
        <f>SUM(H31:K31)</f>
        <v>6266.1825381665</v>
      </c>
      <c r="H31" s="286">
        <v>2689.869258166501</v>
      </c>
      <c r="I31" s="286">
        <v>2200.31328</v>
      </c>
      <c r="J31" s="286">
        <v>125</v>
      </c>
      <c r="K31" s="436">
        <v>1251</v>
      </c>
      <c r="L31" s="120"/>
      <c r="M31" s="334"/>
      <c r="N31" s="330"/>
      <c r="O31" s="330"/>
      <c r="P31" s="330"/>
      <c r="Q31" s="330"/>
      <c r="R31" s="330"/>
      <c r="S31" s="330"/>
      <c r="T31" s="330"/>
      <c r="U31" s="330"/>
      <c r="V31" s="330"/>
      <c r="W31" s="330"/>
    </row>
    <row r="32" spans="2:23" s="117" customFormat="1" ht="15" customHeight="1">
      <c r="B32" s="118"/>
      <c r="C32" s="135" t="s">
        <v>120</v>
      </c>
      <c r="D32" s="123">
        <f t="shared" si="0"/>
        <v>1564.0303142592682</v>
      </c>
      <c r="E32" s="123"/>
      <c r="F32" s="123" t="s">
        <v>21</v>
      </c>
      <c r="G32" s="123">
        <f t="shared" si="1"/>
        <v>1564.0303142592682</v>
      </c>
      <c r="H32" s="286">
        <v>1564.0303142592682</v>
      </c>
      <c r="I32" s="286" t="s">
        <v>21</v>
      </c>
      <c r="J32" s="286"/>
      <c r="K32" s="286" t="s">
        <v>21</v>
      </c>
      <c r="L32" s="120"/>
      <c r="M32" s="334"/>
      <c r="N32" s="330"/>
      <c r="O32" s="330"/>
      <c r="P32" s="330"/>
      <c r="Q32" s="330"/>
      <c r="R32" s="330"/>
      <c r="S32" s="330"/>
      <c r="T32" s="330"/>
      <c r="U32" s="330"/>
      <c r="V32" s="330"/>
      <c r="W32" s="330"/>
    </row>
    <row r="33" spans="2:23" s="117" customFormat="1" ht="15" customHeight="1">
      <c r="B33" s="118"/>
      <c r="C33" s="135" t="s">
        <v>29</v>
      </c>
      <c r="D33" s="123">
        <f t="shared" si="0"/>
        <v>1191462.6600000001</v>
      </c>
      <c r="E33" s="123">
        <v>1191462.6600000001</v>
      </c>
      <c r="F33" s="123" t="s">
        <v>21</v>
      </c>
      <c r="G33" s="123">
        <f t="shared" si="1"/>
        <v>0</v>
      </c>
      <c r="H33" s="286" t="s">
        <v>303</v>
      </c>
      <c r="I33" s="286" t="s">
        <v>21</v>
      </c>
      <c r="J33" s="286"/>
      <c r="K33" s="286" t="s">
        <v>21</v>
      </c>
      <c r="L33" s="120"/>
      <c r="M33" s="334"/>
      <c r="N33" s="330"/>
      <c r="O33" s="330"/>
      <c r="P33" s="330"/>
      <c r="Q33" s="330"/>
      <c r="R33" s="330"/>
      <c r="S33" s="330"/>
      <c r="T33" s="330"/>
      <c r="U33" s="330"/>
      <c r="V33" s="330"/>
      <c r="W33" s="330"/>
    </row>
    <row r="34" spans="2:23" s="117" customFormat="1" ht="15" customHeight="1">
      <c r="B34" s="118"/>
      <c r="C34" s="135" t="s">
        <v>30</v>
      </c>
      <c r="D34" s="123">
        <f t="shared" si="0"/>
        <v>7316.665995738981</v>
      </c>
      <c r="E34" s="123"/>
      <c r="F34" s="123" t="s">
        <v>21</v>
      </c>
      <c r="G34" s="123">
        <f t="shared" si="1"/>
        <v>7316.665995738981</v>
      </c>
      <c r="H34" s="286">
        <v>6549.989995738982</v>
      </c>
      <c r="I34" s="286">
        <v>166.97600000000003</v>
      </c>
      <c r="J34" s="286">
        <v>599.7</v>
      </c>
      <c r="K34" s="286" t="s">
        <v>21</v>
      </c>
      <c r="L34" s="120"/>
      <c r="M34" s="334"/>
      <c r="N34" s="330"/>
      <c r="O34" s="330"/>
      <c r="P34" s="330"/>
      <c r="Q34" s="330"/>
      <c r="R34" s="330"/>
      <c r="S34" s="330"/>
      <c r="T34" s="330"/>
      <c r="U34" s="330"/>
      <c r="V34" s="330"/>
      <c r="W34" s="330"/>
    </row>
    <row r="35" spans="2:23" s="117" customFormat="1" ht="15" customHeight="1">
      <c r="B35" s="118"/>
      <c r="C35" s="135" t="s">
        <v>31</v>
      </c>
      <c r="D35" s="123">
        <f t="shared" si="0"/>
        <v>631285.3872076346</v>
      </c>
      <c r="E35" s="16">
        <v>611743.996</v>
      </c>
      <c r="F35" s="123" t="s">
        <v>21</v>
      </c>
      <c r="G35" s="123">
        <f t="shared" si="1"/>
        <v>19541.39120763456</v>
      </c>
      <c r="H35" s="286">
        <v>108.67220763455775</v>
      </c>
      <c r="I35" s="286">
        <v>8318.719</v>
      </c>
      <c r="J35" s="286">
        <v>11114</v>
      </c>
      <c r="K35" s="286" t="s">
        <v>21</v>
      </c>
      <c r="L35" s="120"/>
      <c r="M35" s="334"/>
      <c r="N35" s="330"/>
      <c r="O35" s="330"/>
      <c r="P35" s="330"/>
      <c r="Q35" s="330"/>
      <c r="R35" s="330"/>
      <c r="S35" s="330"/>
      <c r="T35" s="330"/>
      <c r="U35" s="330"/>
      <c r="V35" s="330"/>
      <c r="W35" s="330"/>
    </row>
    <row r="36" spans="2:23" s="117" customFormat="1" ht="15" customHeight="1">
      <c r="B36" s="118"/>
      <c r="C36" s="135" t="s">
        <v>32</v>
      </c>
      <c r="D36" s="123">
        <f t="shared" si="0"/>
        <v>1419955.3567792594</v>
      </c>
      <c r="E36" s="16">
        <f>1295459.5085+161.38</f>
        <v>1295620.8885</v>
      </c>
      <c r="F36" s="123" t="s">
        <v>21</v>
      </c>
      <c r="G36" s="123">
        <f t="shared" si="1"/>
        <v>124334.4682792596</v>
      </c>
      <c r="H36" s="286">
        <v>12301.759059259643</v>
      </c>
      <c r="I36" s="286">
        <v>82151.47421999996</v>
      </c>
      <c r="J36" s="286">
        <f>22847+374</f>
        <v>23221</v>
      </c>
      <c r="K36" s="436">
        <f>5918.235+742</f>
        <v>6660.235</v>
      </c>
      <c r="L36" s="120"/>
      <c r="M36" s="334"/>
      <c r="N36" s="330"/>
      <c r="O36" s="330"/>
      <c r="P36" s="330"/>
      <c r="Q36" s="330"/>
      <c r="R36" s="330"/>
      <c r="S36" s="330"/>
      <c r="T36" s="330"/>
      <c r="U36" s="330"/>
      <c r="V36" s="330"/>
      <c r="W36" s="330"/>
    </row>
    <row r="37" spans="2:23" s="117" customFormat="1" ht="15" customHeight="1">
      <c r="B37" s="118"/>
      <c r="C37" s="135" t="s">
        <v>33</v>
      </c>
      <c r="D37" s="123">
        <f t="shared" si="0"/>
        <v>87916.07630171094</v>
      </c>
      <c r="E37" s="16">
        <v>82001.87499999999</v>
      </c>
      <c r="F37" s="123" t="s">
        <v>21</v>
      </c>
      <c r="G37" s="123">
        <f t="shared" si="1"/>
        <v>5914.201301710953</v>
      </c>
      <c r="H37" s="286">
        <v>986.2013017109532</v>
      </c>
      <c r="I37" s="286" t="s">
        <v>21</v>
      </c>
      <c r="J37" s="286">
        <f>939+3989</f>
        <v>4928</v>
      </c>
      <c r="K37" s="286" t="s">
        <v>21</v>
      </c>
      <c r="L37" s="120"/>
      <c r="M37" s="334"/>
      <c r="N37" s="330"/>
      <c r="O37" s="330"/>
      <c r="P37" s="330"/>
      <c r="Q37" s="330"/>
      <c r="R37" s="330"/>
      <c r="S37" s="330"/>
      <c r="T37" s="330"/>
      <c r="U37" s="330"/>
      <c r="V37" s="330"/>
      <c r="W37" s="330"/>
    </row>
    <row r="38" spans="2:23" s="117" customFormat="1" ht="15" customHeight="1">
      <c r="B38" s="118"/>
      <c r="C38" s="135" t="s">
        <v>34</v>
      </c>
      <c r="D38" s="123">
        <f t="shared" si="0"/>
        <v>457.477800642431</v>
      </c>
      <c r="E38" s="123" t="s">
        <v>21</v>
      </c>
      <c r="F38" s="123" t="s">
        <v>21</v>
      </c>
      <c r="G38" s="123">
        <f t="shared" si="1"/>
        <v>457.477800642431</v>
      </c>
      <c r="H38" s="286">
        <v>457.477800642431</v>
      </c>
      <c r="I38" s="286" t="s">
        <v>21</v>
      </c>
      <c r="J38" s="286"/>
      <c r="K38" s="286" t="s">
        <v>21</v>
      </c>
      <c r="L38" s="120"/>
      <c r="M38" s="334"/>
      <c r="N38" s="330"/>
      <c r="O38" s="330"/>
      <c r="P38" s="330"/>
      <c r="Q38" s="330"/>
      <c r="R38" s="330"/>
      <c r="S38" s="330"/>
      <c r="T38" s="330"/>
      <c r="U38" s="330"/>
      <c r="V38" s="330"/>
      <c r="W38" s="330"/>
    </row>
    <row r="39" spans="2:23" s="117" customFormat="1" ht="15" customHeight="1">
      <c r="B39" s="118"/>
      <c r="C39" s="135" t="s">
        <v>121</v>
      </c>
      <c r="D39" s="123">
        <f t="shared" si="0"/>
        <v>3910.6869351767973</v>
      </c>
      <c r="E39" s="16">
        <v>1993.4010000000003</v>
      </c>
      <c r="F39" s="123" t="s">
        <v>21</v>
      </c>
      <c r="G39" s="123">
        <f t="shared" si="1"/>
        <v>1917.285935176797</v>
      </c>
      <c r="H39" s="286">
        <v>1917.285935176797</v>
      </c>
      <c r="I39" s="286" t="s">
        <v>21</v>
      </c>
      <c r="J39" s="286"/>
      <c r="K39" s="286" t="s">
        <v>21</v>
      </c>
      <c r="L39" s="120"/>
      <c r="M39" s="334"/>
      <c r="N39" s="330"/>
      <c r="O39" s="330"/>
      <c r="P39" s="330"/>
      <c r="Q39" s="330"/>
      <c r="R39" s="330"/>
      <c r="S39" s="330"/>
      <c r="T39" s="330"/>
      <c r="U39" s="330"/>
      <c r="V39" s="330"/>
      <c r="W39" s="330"/>
    </row>
    <row r="40" spans="2:23" s="117" customFormat="1" ht="15" customHeight="1">
      <c r="B40" s="118"/>
      <c r="C40" s="135" t="s">
        <v>35</v>
      </c>
      <c r="D40" s="123">
        <f t="shared" si="0"/>
        <v>2514.4061289153665</v>
      </c>
      <c r="E40" s="123"/>
      <c r="F40" s="123" t="s">
        <v>21</v>
      </c>
      <c r="G40" s="123">
        <f t="shared" si="1"/>
        <v>2514.4061289153665</v>
      </c>
      <c r="H40" s="286">
        <v>526.4061289153666</v>
      </c>
      <c r="I40" s="286" t="s">
        <v>21</v>
      </c>
      <c r="J40" s="286">
        <v>1988</v>
      </c>
      <c r="K40" s="286" t="s">
        <v>21</v>
      </c>
      <c r="L40" s="120"/>
      <c r="M40" s="334"/>
      <c r="N40" s="330"/>
      <c r="O40" s="330"/>
      <c r="P40" s="330"/>
      <c r="Q40" s="330"/>
      <c r="R40" s="330"/>
      <c r="S40" s="330"/>
      <c r="T40" s="330"/>
      <c r="U40" s="330"/>
      <c r="V40" s="330"/>
      <c r="W40" s="330"/>
    </row>
    <row r="41" spans="2:23" s="117" customFormat="1" ht="15" customHeight="1">
      <c r="B41" s="118"/>
      <c r="C41" s="135" t="s">
        <v>122</v>
      </c>
      <c r="D41" s="123">
        <f t="shared" si="0"/>
        <v>409500.7241358615</v>
      </c>
      <c r="E41" s="16">
        <v>403700.478</v>
      </c>
      <c r="F41" s="123" t="s">
        <v>21</v>
      </c>
      <c r="G41" s="123">
        <f t="shared" si="1"/>
        <v>5800.246135861476</v>
      </c>
      <c r="H41" s="286">
        <v>1975.638955861476</v>
      </c>
      <c r="I41" s="286">
        <v>136.60718</v>
      </c>
      <c r="J41" s="286">
        <v>3688</v>
      </c>
      <c r="K41" s="286" t="s">
        <v>21</v>
      </c>
      <c r="L41" s="120"/>
      <c r="M41" s="334"/>
      <c r="N41" s="330"/>
      <c r="O41" s="330"/>
      <c r="P41" s="330"/>
      <c r="Q41" s="330"/>
      <c r="R41" s="330"/>
      <c r="S41" s="330"/>
      <c r="T41" s="330"/>
      <c r="U41" s="330"/>
      <c r="V41" s="330"/>
      <c r="W41" s="330"/>
    </row>
    <row r="42" spans="2:23" s="117" customFormat="1" ht="15" customHeight="1">
      <c r="B42" s="118"/>
      <c r="C42" s="135" t="s">
        <v>37</v>
      </c>
      <c r="D42" s="123">
        <f t="shared" si="0"/>
        <v>300794.1598267055</v>
      </c>
      <c r="E42" s="16">
        <v>300558.9656</v>
      </c>
      <c r="F42" s="123" t="s">
        <v>21</v>
      </c>
      <c r="G42" s="123">
        <f t="shared" si="1"/>
        <v>235.1942267055223</v>
      </c>
      <c r="H42" s="286">
        <v>235.1942267055223</v>
      </c>
      <c r="I42" s="286" t="s">
        <v>21</v>
      </c>
      <c r="J42" s="286"/>
      <c r="K42" s="286" t="s">
        <v>21</v>
      </c>
      <c r="L42" s="120"/>
      <c r="M42" s="334"/>
      <c r="N42" s="330"/>
      <c r="O42" s="330"/>
      <c r="P42" s="330"/>
      <c r="Q42" s="330"/>
      <c r="R42" s="330"/>
      <c r="S42" s="330"/>
      <c r="T42" s="330"/>
      <c r="U42" s="330"/>
      <c r="V42" s="330"/>
      <c r="W42" s="330"/>
    </row>
    <row r="43" spans="2:23" s="117" customFormat="1" ht="15" customHeight="1">
      <c r="B43" s="118"/>
      <c r="C43" s="135" t="s">
        <v>123</v>
      </c>
      <c r="D43" s="123">
        <f aca="true" t="shared" si="2" ref="D43:D62">SUM(E43,G43)</f>
        <v>226876.5735736835</v>
      </c>
      <c r="E43" s="123">
        <v>211635.05999999997</v>
      </c>
      <c r="F43" s="123" t="s">
        <v>21</v>
      </c>
      <c r="G43" s="123">
        <f aca="true" t="shared" si="3" ref="G43:G62">SUM(H43:K43)</f>
        <v>15241.513573683531</v>
      </c>
      <c r="H43" s="286">
        <v>13945.186373683531</v>
      </c>
      <c r="I43" s="286">
        <v>917.3271999999997</v>
      </c>
      <c r="J43" s="286">
        <v>379</v>
      </c>
      <c r="K43" s="286" t="s">
        <v>21</v>
      </c>
      <c r="L43" s="120"/>
      <c r="M43" s="334"/>
      <c r="N43" s="330"/>
      <c r="O43" s="330"/>
      <c r="P43" s="330"/>
      <c r="Q43" s="330"/>
      <c r="R43" s="330"/>
      <c r="S43" s="330"/>
      <c r="T43" s="330"/>
      <c r="U43" s="330"/>
      <c r="V43" s="330"/>
      <c r="W43" s="330"/>
    </row>
    <row r="44" spans="2:23" s="117" customFormat="1" ht="15" customHeight="1">
      <c r="B44" s="118"/>
      <c r="C44" s="135" t="s">
        <v>39</v>
      </c>
      <c r="D44" s="123">
        <f t="shared" si="2"/>
        <v>434731.5533822237</v>
      </c>
      <c r="E44" s="16">
        <v>433144.37</v>
      </c>
      <c r="F44" s="123" t="s">
        <v>21</v>
      </c>
      <c r="G44" s="123">
        <f t="shared" si="3"/>
        <v>1587.1833822237386</v>
      </c>
      <c r="H44" s="286">
        <v>1566.1833822237386</v>
      </c>
      <c r="I44" s="286" t="s">
        <v>21</v>
      </c>
      <c r="J44" s="286">
        <v>21</v>
      </c>
      <c r="K44" s="286" t="s">
        <v>21</v>
      </c>
      <c r="L44" s="120"/>
      <c r="M44" s="334"/>
      <c r="N44" s="330"/>
      <c r="O44" s="330"/>
      <c r="P44" s="330"/>
      <c r="Q44" s="330"/>
      <c r="R44" s="330"/>
      <c r="S44" s="330"/>
      <c r="T44" s="330"/>
      <c r="U44" s="330"/>
      <c r="V44" s="330"/>
      <c r="W44" s="330"/>
    </row>
    <row r="45" spans="2:23" s="117" customFormat="1" ht="15" customHeight="1">
      <c r="B45" s="118"/>
      <c r="C45" s="135" t="s">
        <v>124</v>
      </c>
      <c r="D45" s="123">
        <f t="shared" si="2"/>
        <v>4186.489756236617</v>
      </c>
      <c r="E45" s="123"/>
      <c r="F45" s="123" t="s">
        <v>21</v>
      </c>
      <c r="G45" s="123">
        <f t="shared" si="3"/>
        <v>4186.489756236617</v>
      </c>
      <c r="H45" s="286">
        <v>4089.522256236617</v>
      </c>
      <c r="I45" s="286">
        <v>96.96749999999999</v>
      </c>
      <c r="J45" s="286"/>
      <c r="K45" s="286" t="s">
        <v>21</v>
      </c>
      <c r="L45" s="120"/>
      <c r="M45" s="334"/>
      <c r="N45" s="330"/>
      <c r="O45" s="330"/>
      <c r="P45" s="330"/>
      <c r="Q45" s="330"/>
      <c r="R45" s="330"/>
      <c r="S45" s="330"/>
      <c r="T45" s="330"/>
      <c r="U45" s="330"/>
      <c r="V45" s="330"/>
      <c r="W45" s="330"/>
    </row>
    <row r="46" spans="2:23" s="117" customFormat="1" ht="15" customHeight="1">
      <c r="B46" s="118"/>
      <c r="C46" s="135" t="s">
        <v>40</v>
      </c>
      <c r="D46" s="123">
        <f t="shared" si="2"/>
        <v>540639.7685009022</v>
      </c>
      <c r="E46" s="16">
        <v>490077.421</v>
      </c>
      <c r="F46" s="123" t="s">
        <v>21</v>
      </c>
      <c r="G46" s="123">
        <f t="shared" si="3"/>
        <v>50562.347500902266</v>
      </c>
      <c r="H46" s="286">
        <v>6364.188310902267</v>
      </c>
      <c r="I46" s="286">
        <v>6637.159189999997</v>
      </c>
      <c r="J46" s="286">
        <v>37561</v>
      </c>
      <c r="K46" s="437" t="s">
        <v>21</v>
      </c>
      <c r="L46" s="120"/>
      <c r="M46" s="334"/>
      <c r="N46" s="330"/>
      <c r="O46" s="330"/>
      <c r="P46" s="330"/>
      <c r="Q46" s="330"/>
      <c r="R46" s="330"/>
      <c r="S46" s="330"/>
      <c r="T46" s="330"/>
      <c r="U46" s="330"/>
      <c r="V46" s="330"/>
      <c r="W46" s="330"/>
    </row>
    <row r="47" spans="2:23" s="117" customFormat="1" ht="15" customHeight="1">
      <c r="B47" s="118"/>
      <c r="C47" s="135" t="s">
        <v>125</v>
      </c>
      <c r="D47" s="123">
        <f t="shared" si="2"/>
        <v>311.3368296089533</v>
      </c>
      <c r="E47" s="123"/>
      <c r="F47" s="123" t="s">
        <v>21</v>
      </c>
      <c r="G47" s="123">
        <f t="shared" si="3"/>
        <v>311.3368296089533</v>
      </c>
      <c r="H47" s="286">
        <v>305.3368296089533</v>
      </c>
      <c r="I47" s="286" t="s">
        <v>21</v>
      </c>
      <c r="J47" s="286">
        <v>6</v>
      </c>
      <c r="K47" s="286" t="s">
        <v>21</v>
      </c>
      <c r="L47" s="120"/>
      <c r="M47" s="334"/>
      <c r="N47" s="330"/>
      <c r="O47" s="330"/>
      <c r="P47" s="330"/>
      <c r="Q47" s="330"/>
      <c r="R47" s="330"/>
      <c r="S47" s="330"/>
      <c r="T47" s="330"/>
      <c r="U47" s="330"/>
      <c r="V47" s="330"/>
      <c r="W47" s="330"/>
    </row>
    <row r="48" spans="2:23" s="117" customFormat="1" ht="15" customHeight="1">
      <c r="B48" s="118"/>
      <c r="C48" s="135" t="s">
        <v>41</v>
      </c>
      <c r="D48" s="123">
        <f t="shared" si="2"/>
        <v>46052.778201370464</v>
      </c>
      <c r="E48" s="123"/>
      <c r="F48" s="123" t="s">
        <v>21</v>
      </c>
      <c r="G48" s="123">
        <f t="shared" si="3"/>
        <v>46052.778201370464</v>
      </c>
      <c r="H48" s="286">
        <v>33420.64586137047</v>
      </c>
      <c r="I48" s="286">
        <v>382.13234</v>
      </c>
      <c r="J48" s="286">
        <v>12250</v>
      </c>
      <c r="K48" s="286" t="s">
        <v>21</v>
      </c>
      <c r="L48" s="120"/>
      <c r="M48" s="334"/>
      <c r="N48" s="330"/>
      <c r="O48" s="330"/>
      <c r="P48" s="330"/>
      <c r="Q48" s="330"/>
      <c r="R48" s="330"/>
      <c r="S48" s="330"/>
      <c r="T48" s="330"/>
      <c r="U48" s="330"/>
      <c r="V48" s="330"/>
      <c r="W48" s="330"/>
    </row>
    <row r="49" spans="2:23" s="117" customFormat="1" ht="15" customHeight="1">
      <c r="B49" s="118"/>
      <c r="C49" s="135" t="s">
        <v>42</v>
      </c>
      <c r="D49" s="123">
        <f t="shared" si="2"/>
        <v>280039.78085944976</v>
      </c>
      <c r="E49" s="16">
        <v>275267.78500000003</v>
      </c>
      <c r="F49" s="123" t="s">
        <v>21</v>
      </c>
      <c r="G49" s="123">
        <f t="shared" si="3"/>
        <v>4771.99585944973</v>
      </c>
      <c r="H49" s="286">
        <v>268.12785944972984</v>
      </c>
      <c r="I49" s="286">
        <v>71.868</v>
      </c>
      <c r="J49" s="286">
        <v>4432</v>
      </c>
      <c r="K49" s="286" t="s">
        <v>21</v>
      </c>
      <c r="L49" s="120"/>
      <c r="M49" s="334"/>
      <c r="N49" s="330"/>
      <c r="O49" s="330"/>
      <c r="P49" s="330"/>
      <c r="Q49" s="330"/>
      <c r="R49" s="330"/>
      <c r="S49" s="330"/>
      <c r="T49" s="330"/>
      <c r="U49" s="330"/>
      <c r="V49" s="330"/>
      <c r="W49" s="330"/>
    </row>
    <row r="50" spans="2:23" s="117" customFormat="1" ht="15" customHeight="1">
      <c r="B50" s="118"/>
      <c r="C50" s="135" t="s">
        <v>43</v>
      </c>
      <c r="D50" s="123">
        <f t="shared" si="2"/>
        <v>408804.22944</v>
      </c>
      <c r="E50" s="16">
        <v>386788.5245</v>
      </c>
      <c r="F50" s="123" t="s">
        <v>21</v>
      </c>
      <c r="G50" s="123">
        <f t="shared" si="3"/>
        <v>22015.704939999996</v>
      </c>
      <c r="H50" s="286" t="s">
        <v>303</v>
      </c>
      <c r="I50" s="286">
        <v>2288.8382399999996</v>
      </c>
      <c r="J50" s="286">
        <v>9552</v>
      </c>
      <c r="K50" s="437">
        <v>10174.866699999999</v>
      </c>
      <c r="L50" s="120"/>
      <c r="M50" s="334"/>
      <c r="N50" s="330"/>
      <c r="O50" s="330"/>
      <c r="P50" s="330"/>
      <c r="Q50" s="330"/>
      <c r="R50" s="330"/>
      <c r="S50" s="330"/>
      <c r="T50" s="330"/>
      <c r="U50" s="330"/>
      <c r="V50" s="330"/>
      <c r="W50" s="330"/>
    </row>
    <row r="51" spans="2:23" s="117" customFormat="1" ht="15" customHeight="1">
      <c r="B51" s="118"/>
      <c r="C51" s="135" t="s">
        <v>126</v>
      </c>
      <c r="D51" s="123">
        <f t="shared" si="2"/>
        <v>23865.239830325107</v>
      </c>
      <c r="E51" s="123"/>
      <c r="F51" s="123" t="s">
        <v>21</v>
      </c>
      <c r="G51" s="123">
        <f t="shared" si="3"/>
        <v>23865.239830325107</v>
      </c>
      <c r="H51" s="286">
        <v>23586.239830325107</v>
      </c>
      <c r="I51" s="286" t="s">
        <v>21</v>
      </c>
      <c r="J51" s="286">
        <v>279</v>
      </c>
      <c r="K51" s="437" t="s">
        <v>21</v>
      </c>
      <c r="L51" s="120"/>
      <c r="M51" s="334"/>
      <c r="N51" s="330"/>
      <c r="O51" s="330"/>
      <c r="P51" s="330"/>
      <c r="Q51" s="330"/>
      <c r="R51" s="330"/>
      <c r="S51" s="330"/>
      <c r="T51" s="330"/>
      <c r="U51" s="330"/>
      <c r="V51" s="330"/>
      <c r="W51" s="330"/>
    </row>
    <row r="52" spans="2:23" s="117" customFormat="1" ht="15" customHeight="1">
      <c r="B52" s="118"/>
      <c r="C52" s="135" t="s">
        <v>127</v>
      </c>
      <c r="D52" s="123">
        <f t="shared" si="2"/>
        <v>17249.12000546232</v>
      </c>
      <c r="E52" s="123"/>
      <c r="F52" s="123" t="s">
        <v>21</v>
      </c>
      <c r="G52" s="123">
        <f t="shared" si="3"/>
        <v>17249.12000546232</v>
      </c>
      <c r="H52" s="286">
        <v>2439.2000054623177</v>
      </c>
      <c r="I52" s="286" t="s">
        <v>21</v>
      </c>
      <c r="J52" s="286"/>
      <c r="K52" s="437">
        <v>14809.92</v>
      </c>
      <c r="L52" s="120"/>
      <c r="M52" s="334"/>
      <c r="N52" s="330"/>
      <c r="O52" s="330"/>
      <c r="P52" s="330"/>
      <c r="Q52" s="330"/>
      <c r="R52" s="330"/>
      <c r="S52" s="330"/>
      <c r="T52" s="330"/>
      <c r="U52" s="330"/>
      <c r="V52" s="330"/>
      <c r="W52" s="330"/>
    </row>
    <row r="53" spans="2:23" s="117" customFormat="1" ht="15" customHeight="1">
      <c r="B53" s="118"/>
      <c r="C53" s="135" t="s">
        <v>128</v>
      </c>
      <c r="D53" s="123">
        <f t="shared" si="2"/>
        <v>5954.649795242676</v>
      </c>
      <c r="E53" s="123"/>
      <c r="F53" s="123" t="s">
        <v>21</v>
      </c>
      <c r="G53" s="123">
        <f t="shared" si="3"/>
        <v>5954.649795242676</v>
      </c>
      <c r="H53" s="286">
        <v>1193.5697952426763</v>
      </c>
      <c r="I53" s="286">
        <v>18.7</v>
      </c>
      <c r="J53" s="286">
        <v>2295</v>
      </c>
      <c r="K53" s="437">
        <v>2447.3800000000006</v>
      </c>
      <c r="L53" s="120"/>
      <c r="M53" s="334"/>
      <c r="N53" s="330"/>
      <c r="O53" s="330"/>
      <c r="P53" s="330"/>
      <c r="Q53" s="330"/>
      <c r="R53" s="330"/>
      <c r="S53" s="330"/>
      <c r="T53" s="330"/>
      <c r="U53" s="330"/>
      <c r="V53" s="330"/>
      <c r="W53" s="330"/>
    </row>
    <row r="54" spans="2:23" s="117" customFormat="1" ht="15" customHeight="1">
      <c r="B54" s="118"/>
      <c r="C54" s="135" t="s">
        <v>129</v>
      </c>
      <c r="D54" s="123">
        <f t="shared" si="2"/>
        <v>3098.0962187492655</v>
      </c>
      <c r="E54" s="123"/>
      <c r="F54" s="123" t="s">
        <v>21</v>
      </c>
      <c r="G54" s="123">
        <f t="shared" si="3"/>
        <v>3098.0962187492655</v>
      </c>
      <c r="H54" s="286">
        <v>2974.0962187492655</v>
      </c>
      <c r="I54" s="286" t="s">
        <v>21</v>
      </c>
      <c r="J54" s="286">
        <v>124</v>
      </c>
      <c r="K54" s="286" t="s">
        <v>21</v>
      </c>
      <c r="L54" s="120"/>
      <c r="M54" s="334"/>
      <c r="N54" s="330"/>
      <c r="O54" s="330"/>
      <c r="P54" s="330"/>
      <c r="Q54" s="330"/>
      <c r="R54" s="330"/>
      <c r="S54" s="330"/>
      <c r="T54" s="330"/>
      <c r="U54" s="330"/>
      <c r="V54" s="330"/>
      <c r="W54" s="330"/>
    </row>
    <row r="55" spans="2:23" s="117" customFormat="1" ht="15" customHeight="1">
      <c r="B55" s="118"/>
      <c r="C55" s="135" t="s">
        <v>44</v>
      </c>
      <c r="D55" s="123">
        <f t="shared" si="2"/>
        <v>26639.80259343231</v>
      </c>
      <c r="E55" s="16">
        <v>9484.865</v>
      </c>
      <c r="F55" s="123" t="s">
        <v>21</v>
      </c>
      <c r="G55" s="123">
        <f t="shared" si="3"/>
        <v>17154.93759343231</v>
      </c>
      <c r="H55" s="286">
        <v>11348.561293432309</v>
      </c>
      <c r="I55" s="286">
        <v>386.62630000000007</v>
      </c>
      <c r="J55" s="286">
        <v>2241</v>
      </c>
      <c r="K55" s="437">
        <v>3178.75</v>
      </c>
      <c r="L55" s="120"/>
      <c r="M55" s="334"/>
      <c r="N55" s="330"/>
      <c r="O55" s="330"/>
      <c r="P55" s="330"/>
      <c r="Q55" s="330"/>
      <c r="R55" s="330"/>
      <c r="S55" s="330"/>
      <c r="T55" s="330"/>
      <c r="U55" s="330"/>
      <c r="V55" s="330"/>
      <c r="W55" s="330"/>
    </row>
    <row r="56" spans="2:23" s="117" customFormat="1" ht="15" customHeight="1">
      <c r="B56" s="118"/>
      <c r="C56" s="135" t="s">
        <v>45</v>
      </c>
      <c r="D56" s="123">
        <f t="shared" si="2"/>
        <v>40652.85490158173</v>
      </c>
      <c r="E56" s="16">
        <f>12688.405+13200.305</f>
        <v>25888.71</v>
      </c>
      <c r="F56" s="123" t="s">
        <v>21</v>
      </c>
      <c r="G56" s="123">
        <f t="shared" si="3"/>
        <v>14764.144901581736</v>
      </c>
      <c r="H56" s="286">
        <v>13402.847901581736</v>
      </c>
      <c r="I56" s="286">
        <v>288.297</v>
      </c>
      <c r="J56" s="439">
        <v>1073</v>
      </c>
      <c r="K56" s="286" t="s">
        <v>21</v>
      </c>
      <c r="L56" s="120"/>
      <c r="M56" s="334"/>
      <c r="N56" s="330"/>
      <c r="O56" s="330"/>
      <c r="P56" s="330"/>
      <c r="Q56" s="330"/>
      <c r="R56" s="330"/>
      <c r="S56" s="330"/>
      <c r="T56" s="330"/>
      <c r="U56" s="330"/>
      <c r="V56" s="330"/>
      <c r="W56" s="330"/>
    </row>
    <row r="57" spans="2:23" s="117" customFormat="1" ht="15" customHeight="1">
      <c r="B57" s="118"/>
      <c r="C57" s="135" t="s">
        <v>130</v>
      </c>
      <c r="D57" s="123">
        <f t="shared" si="2"/>
        <v>3569.6404827873084</v>
      </c>
      <c r="E57" s="123"/>
      <c r="F57" s="123" t="s">
        <v>21</v>
      </c>
      <c r="G57" s="123">
        <f t="shared" si="3"/>
        <v>3569.6404827873084</v>
      </c>
      <c r="H57" s="286">
        <v>3104.6404827873084</v>
      </c>
      <c r="I57" s="286" t="s">
        <v>21</v>
      </c>
      <c r="J57" s="286">
        <v>465</v>
      </c>
      <c r="K57" s="286" t="s">
        <v>21</v>
      </c>
      <c r="L57" s="120"/>
      <c r="M57" s="334"/>
      <c r="N57" s="330"/>
      <c r="O57" s="330"/>
      <c r="P57" s="330"/>
      <c r="Q57" s="330"/>
      <c r="R57" s="330"/>
      <c r="S57" s="330"/>
      <c r="T57" s="330"/>
      <c r="U57" s="330"/>
      <c r="V57" s="330"/>
      <c r="W57" s="330"/>
    </row>
    <row r="58" spans="2:23" s="117" customFormat="1" ht="15" customHeight="1">
      <c r="B58" s="118"/>
      <c r="C58" s="135" t="s">
        <v>47</v>
      </c>
      <c r="D58" s="123">
        <f t="shared" si="2"/>
        <v>23806.550000000003</v>
      </c>
      <c r="E58" s="123">
        <v>23746.550000000003</v>
      </c>
      <c r="F58" s="123" t="s">
        <v>21</v>
      </c>
      <c r="G58" s="123">
        <f t="shared" si="3"/>
        <v>60</v>
      </c>
      <c r="H58" s="286" t="s">
        <v>303</v>
      </c>
      <c r="I58" s="286" t="s">
        <v>21</v>
      </c>
      <c r="J58" s="286">
        <v>60</v>
      </c>
      <c r="K58" s="286" t="s">
        <v>21</v>
      </c>
      <c r="L58" s="120"/>
      <c r="M58" s="334"/>
      <c r="N58" s="330"/>
      <c r="O58" s="330"/>
      <c r="P58" s="330"/>
      <c r="Q58" s="330"/>
      <c r="R58" s="330"/>
      <c r="S58" s="330"/>
      <c r="T58" s="330"/>
      <c r="U58" s="330"/>
      <c r="V58" s="330"/>
      <c r="W58" s="330"/>
    </row>
    <row r="59" spans="2:23" s="117" customFormat="1" ht="15" customHeight="1">
      <c r="B59" s="118"/>
      <c r="C59" s="135" t="s">
        <v>46</v>
      </c>
      <c r="D59" s="123">
        <f t="shared" si="2"/>
        <v>59517.09286206093</v>
      </c>
      <c r="E59" s="123">
        <v>42349.65</v>
      </c>
      <c r="F59" s="123" t="s">
        <v>21</v>
      </c>
      <c r="G59" s="123">
        <f t="shared" si="3"/>
        <v>17167.442862060925</v>
      </c>
      <c r="H59" s="286">
        <v>6839.738862060925</v>
      </c>
      <c r="I59" s="286">
        <v>175.704</v>
      </c>
      <c r="J59" s="286">
        <v>10152</v>
      </c>
      <c r="K59" s="286" t="s">
        <v>21</v>
      </c>
      <c r="L59" s="120"/>
      <c r="M59" s="334"/>
      <c r="N59" s="330"/>
      <c r="O59" s="330"/>
      <c r="P59" s="330"/>
      <c r="Q59" s="330"/>
      <c r="R59" s="330"/>
      <c r="S59" s="330"/>
      <c r="T59" s="330"/>
      <c r="U59" s="330"/>
      <c r="V59" s="330"/>
      <c r="W59" s="330"/>
    </row>
    <row r="60" spans="2:23" s="117" customFormat="1" ht="15" customHeight="1">
      <c r="B60" s="118"/>
      <c r="C60" s="135" t="s">
        <v>48</v>
      </c>
      <c r="D60" s="123">
        <f t="shared" si="2"/>
        <v>170534.3505008137</v>
      </c>
      <c r="E60" s="16">
        <f>48667.12+84031.15</f>
        <v>132698.27</v>
      </c>
      <c r="F60" s="123" t="s">
        <v>21</v>
      </c>
      <c r="G60" s="123">
        <f t="shared" si="3"/>
        <v>37836.080500813725</v>
      </c>
      <c r="H60" s="286">
        <v>28489.516700813725</v>
      </c>
      <c r="I60" s="286">
        <v>1438.3418000000001</v>
      </c>
      <c r="J60" s="286">
        <v>7862</v>
      </c>
      <c r="K60" s="286">
        <v>46.222</v>
      </c>
      <c r="L60" s="120"/>
      <c r="M60" s="334"/>
      <c r="N60" s="330"/>
      <c r="O60" s="330"/>
      <c r="P60" s="330"/>
      <c r="Q60" s="330"/>
      <c r="R60" s="330"/>
      <c r="S60" s="330"/>
      <c r="T60" s="330"/>
      <c r="U60" s="330"/>
      <c r="V60" s="330"/>
      <c r="W60" s="330"/>
    </row>
    <row r="61" spans="2:23" s="117" customFormat="1" ht="15" customHeight="1">
      <c r="B61" s="118"/>
      <c r="C61" s="135" t="s">
        <v>131</v>
      </c>
      <c r="D61" s="123">
        <f t="shared" si="2"/>
        <v>82.54773758877309</v>
      </c>
      <c r="E61" s="123"/>
      <c r="F61" s="123" t="s">
        <v>21</v>
      </c>
      <c r="G61" s="123">
        <f t="shared" si="3"/>
        <v>82.54773758877309</v>
      </c>
      <c r="H61" s="286">
        <v>82.54773758877309</v>
      </c>
      <c r="I61" s="286" t="s">
        <v>21</v>
      </c>
      <c r="J61" s="286"/>
      <c r="K61" s="286" t="s">
        <v>21</v>
      </c>
      <c r="L61" s="120"/>
      <c r="M61" s="334"/>
      <c r="N61" s="330"/>
      <c r="O61" s="330"/>
      <c r="P61" s="330"/>
      <c r="Q61" s="330"/>
      <c r="R61" s="330"/>
      <c r="S61" s="330"/>
      <c r="T61" s="330"/>
      <c r="U61" s="330"/>
      <c r="V61" s="330"/>
      <c r="W61" s="330"/>
    </row>
    <row r="62" spans="2:23" s="117" customFormat="1" ht="15" customHeight="1">
      <c r="B62" s="118"/>
      <c r="C62" s="119" t="s">
        <v>132</v>
      </c>
      <c r="D62" s="383">
        <f t="shared" si="2"/>
        <v>101240.7095</v>
      </c>
      <c r="E62" s="123">
        <v>20</v>
      </c>
      <c r="F62" s="123" t="s">
        <v>21</v>
      </c>
      <c r="G62" s="123">
        <f t="shared" si="3"/>
        <v>101220.7095</v>
      </c>
      <c r="H62" s="286">
        <v>36316</v>
      </c>
      <c r="I62" s="286">
        <v>447.1165</v>
      </c>
      <c r="J62" s="286">
        <f>19796+31868</f>
        <v>51664</v>
      </c>
      <c r="K62" s="437">
        <f>12541.593+184+68</f>
        <v>12793.593</v>
      </c>
      <c r="L62" s="120"/>
      <c r="M62" s="334"/>
      <c r="N62" s="330"/>
      <c r="O62" s="330"/>
      <c r="P62" s="330"/>
      <c r="Q62" s="330"/>
      <c r="R62" s="330"/>
      <c r="S62" s="330"/>
      <c r="T62" s="330"/>
      <c r="U62" s="330"/>
      <c r="V62" s="330"/>
      <c r="W62" s="330"/>
    </row>
    <row r="63" spans="2:23" s="117" customFormat="1" ht="7.5" customHeight="1">
      <c r="B63" s="125"/>
      <c r="C63" s="126"/>
      <c r="D63" s="126"/>
      <c r="E63" s="173"/>
      <c r="F63" s="136"/>
      <c r="G63" s="136"/>
      <c r="H63" s="136"/>
      <c r="I63" s="136"/>
      <c r="J63" s="136"/>
      <c r="K63" s="136"/>
      <c r="L63" s="127"/>
      <c r="M63" s="334"/>
      <c r="N63" s="330"/>
      <c r="O63" s="330"/>
      <c r="P63" s="330"/>
      <c r="Q63" s="330"/>
      <c r="R63" s="330"/>
      <c r="S63" s="330"/>
      <c r="T63" s="330"/>
      <c r="U63" s="330"/>
      <c r="V63" s="330"/>
      <c r="W63" s="330"/>
    </row>
    <row r="64" spans="2:23" s="117" customFormat="1" ht="1.5" customHeight="1">
      <c r="B64" s="122"/>
      <c r="C64" s="122"/>
      <c r="D64" s="122"/>
      <c r="E64" s="137"/>
      <c r="F64" s="137"/>
      <c r="G64" s="137"/>
      <c r="H64" s="137"/>
      <c r="I64" s="137"/>
      <c r="J64" s="137"/>
      <c r="K64" s="137"/>
      <c r="L64" s="122"/>
      <c r="M64" s="334"/>
      <c r="N64" s="330"/>
      <c r="O64" s="330"/>
      <c r="P64" s="330"/>
      <c r="Q64" s="330"/>
      <c r="R64" s="330"/>
      <c r="S64" s="330"/>
      <c r="T64" s="330"/>
      <c r="U64" s="330"/>
      <c r="V64" s="330"/>
      <c r="W64" s="330"/>
    </row>
    <row r="65" spans="2:23" s="128" customFormat="1" ht="12" customHeight="1">
      <c r="B65" s="129" t="s">
        <v>141</v>
      </c>
      <c r="C65" s="128" t="s">
        <v>273</v>
      </c>
      <c r="E65" s="138"/>
      <c r="F65" s="138"/>
      <c r="G65" s="138"/>
      <c r="H65" s="138"/>
      <c r="I65" s="138"/>
      <c r="J65" s="138"/>
      <c r="K65" s="138"/>
      <c r="L65" s="129"/>
      <c r="M65" s="339"/>
      <c r="N65" s="340"/>
      <c r="O65" s="340"/>
      <c r="P65" s="340"/>
      <c r="Q65" s="340"/>
      <c r="R65" s="340"/>
      <c r="S65" s="340"/>
      <c r="T65" s="340"/>
      <c r="U65" s="340"/>
      <c r="V65" s="340"/>
      <c r="W65" s="340"/>
    </row>
    <row r="66" spans="2:23" s="128" customFormat="1" ht="12" customHeight="1">
      <c r="B66" s="129"/>
      <c r="C66" s="128" t="s">
        <v>270</v>
      </c>
      <c r="E66" s="138"/>
      <c r="F66" s="138"/>
      <c r="G66" s="138"/>
      <c r="H66" s="138"/>
      <c r="I66" s="138"/>
      <c r="J66" s="138"/>
      <c r="K66" s="138"/>
      <c r="L66" s="129"/>
      <c r="M66" s="339"/>
      <c r="N66" s="340"/>
      <c r="O66" s="340"/>
      <c r="P66" s="340"/>
      <c r="Q66" s="340"/>
      <c r="R66" s="340"/>
      <c r="S66" s="340"/>
      <c r="T66" s="340"/>
      <c r="U66" s="340"/>
      <c r="V66" s="340"/>
      <c r="W66" s="340"/>
    </row>
    <row r="67" spans="2:23" s="128" customFormat="1" ht="12" customHeight="1">
      <c r="B67" s="129"/>
      <c r="C67" s="128" t="s">
        <v>265</v>
      </c>
      <c r="E67" s="138"/>
      <c r="F67" s="138"/>
      <c r="G67" s="138"/>
      <c r="H67" s="138"/>
      <c r="I67" s="138"/>
      <c r="J67" s="138"/>
      <c r="K67" s="138"/>
      <c r="L67" s="129"/>
      <c r="M67" s="339"/>
      <c r="N67" s="340"/>
      <c r="O67" s="340"/>
      <c r="P67" s="340"/>
      <c r="Q67" s="340"/>
      <c r="R67" s="340"/>
      <c r="S67" s="340"/>
      <c r="T67" s="340"/>
      <c r="U67" s="340"/>
      <c r="V67" s="340"/>
      <c r="W67" s="340"/>
    </row>
    <row r="68" spans="2:23" s="128" customFormat="1" ht="12.75" customHeight="1">
      <c r="B68" s="129"/>
      <c r="C68" s="128" t="s">
        <v>148</v>
      </c>
      <c r="D68" s="130"/>
      <c r="E68" s="138"/>
      <c r="F68" s="138"/>
      <c r="G68" s="138"/>
      <c r="H68" s="138"/>
      <c r="I68" s="138"/>
      <c r="J68" s="138"/>
      <c r="K68" s="138"/>
      <c r="L68" s="129"/>
      <c r="M68" s="339"/>
      <c r="N68" s="340"/>
      <c r="O68" s="340"/>
      <c r="P68" s="340"/>
      <c r="Q68" s="340"/>
      <c r="R68" s="340"/>
      <c r="S68" s="340"/>
      <c r="T68" s="340"/>
      <c r="U68" s="340"/>
      <c r="V68" s="340"/>
      <c r="W68" s="340"/>
    </row>
    <row r="69" spans="2:13" s="330" customFormat="1" ht="7.5" customHeight="1"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4"/>
    </row>
    <row r="70" spans="2:13" s="330" customFormat="1" ht="7.5" customHeight="1">
      <c r="B70" s="331"/>
      <c r="C70" s="331"/>
      <c r="D70" s="331"/>
      <c r="E70" s="331"/>
      <c r="F70" s="331"/>
      <c r="G70" s="331"/>
      <c r="H70" s="331"/>
      <c r="I70" s="331"/>
      <c r="J70" s="331"/>
      <c r="K70" s="331"/>
      <c r="L70" s="331"/>
      <c r="M70" s="334"/>
    </row>
    <row r="71" spans="2:13" s="330" customFormat="1" ht="13.5" customHeight="1">
      <c r="B71" s="331"/>
      <c r="C71" s="444" t="s">
        <v>29</v>
      </c>
      <c r="D71" s="445">
        <f>+D33</f>
        <v>1191462.6600000001</v>
      </c>
      <c r="E71" s="448">
        <f>+D71/$D$77*100</f>
        <v>16.526134586355788</v>
      </c>
      <c r="F71" s="331"/>
      <c r="G71" s="332" t="s">
        <v>152</v>
      </c>
      <c r="H71" s="330">
        <f>+H9</f>
        <v>370081.29280599125</v>
      </c>
      <c r="I71" s="446">
        <f>+H71/$H$75</f>
        <v>0.3257069017907944</v>
      </c>
      <c r="J71" s="331"/>
      <c r="K71" s="331"/>
      <c r="L71" s="331"/>
      <c r="M71" s="334"/>
    </row>
    <row r="72" spans="2:13" s="320" customFormat="1" ht="13.5" customHeight="1">
      <c r="B72" s="321"/>
      <c r="C72" s="333" t="s">
        <v>32</v>
      </c>
      <c r="D72" s="330">
        <f>+D36</f>
        <v>1419955.3567792594</v>
      </c>
      <c r="E72" s="448">
        <f aca="true" t="shared" si="4" ref="E72:E77">+D72/$D$77*100</f>
        <v>19.69543328596709</v>
      </c>
      <c r="F72" s="321"/>
      <c r="G72" s="332" t="s">
        <v>150</v>
      </c>
      <c r="H72" s="330">
        <f>+I9</f>
        <v>134516.44944999996</v>
      </c>
      <c r="I72" s="446">
        <f>+H72/$H$75</f>
        <v>0.11838732960010943</v>
      </c>
      <c r="J72" s="321"/>
      <c r="K72" s="321"/>
      <c r="L72" s="321"/>
      <c r="M72" s="319"/>
    </row>
    <row r="73" spans="2:13" s="330" customFormat="1" ht="15" customHeight="1">
      <c r="B73" s="331"/>
      <c r="C73" s="330" t="s">
        <v>43</v>
      </c>
      <c r="D73" s="330">
        <f>+D50</f>
        <v>408804.22944</v>
      </c>
      <c r="E73" s="448">
        <f t="shared" si="4"/>
        <v>5.67030251304469</v>
      </c>
      <c r="F73" s="331"/>
      <c r="G73" s="332" t="s">
        <v>151</v>
      </c>
      <c r="H73" s="330">
        <f>+J9</f>
        <v>569648.7</v>
      </c>
      <c r="I73" s="446">
        <f>+H73/$H$75</f>
        <v>0.5013452903263043</v>
      </c>
      <c r="J73" s="331"/>
      <c r="K73" s="331"/>
      <c r="L73" s="331"/>
      <c r="M73" s="334"/>
    </row>
    <row r="74" spans="2:13" s="310" customFormat="1" ht="15" customHeight="1">
      <c r="B74" s="312"/>
      <c r="C74" s="330" t="s">
        <v>40</v>
      </c>
      <c r="D74" s="330">
        <f>+D46</f>
        <v>540639.7685009022</v>
      </c>
      <c r="E74" s="448">
        <f t="shared" si="4"/>
        <v>7.4989220199163835</v>
      </c>
      <c r="F74" s="312"/>
      <c r="G74" s="332" t="s">
        <v>157</v>
      </c>
      <c r="H74" s="330">
        <f>+K9</f>
        <v>61993.8117</v>
      </c>
      <c r="I74" s="446">
        <f>+H74/$H$75</f>
        <v>0.05456047828279208</v>
      </c>
      <c r="J74" s="312"/>
      <c r="K74" s="312"/>
      <c r="L74" s="312"/>
      <c r="M74" s="315"/>
    </row>
    <row r="75" spans="2:13" s="310" customFormat="1" ht="15" customHeight="1">
      <c r="B75" s="312"/>
      <c r="C75" s="333" t="s">
        <v>117</v>
      </c>
      <c r="D75" s="330">
        <f>+D25</f>
        <v>461293.077</v>
      </c>
      <c r="E75" s="448">
        <f t="shared" si="4"/>
        <v>6.398346947990953</v>
      </c>
      <c r="F75" s="312"/>
      <c r="G75" s="332"/>
      <c r="H75" s="330">
        <f>SUM(H71:H74)</f>
        <v>1136240.253955991</v>
      </c>
      <c r="I75" s="326"/>
      <c r="J75" s="312"/>
      <c r="K75" s="312"/>
      <c r="L75" s="312"/>
      <c r="M75" s="315"/>
    </row>
    <row r="76" spans="2:13" s="310" customFormat="1" ht="15" customHeight="1">
      <c r="B76" s="312"/>
      <c r="C76" s="447" t="s">
        <v>97</v>
      </c>
      <c r="D76" s="330">
        <f>+D9-SUM(D71:D75)</f>
        <v>3187411.390835829</v>
      </c>
      <c r="E76" s="448">
        <f t="shared" si="4"/>
        <v>44.210860646725095</v>
      </c>
      <c r="F76" s="312"/>
      <c r="G76" s="313"/>
      <c r="H76" s="312"/>
      <c r="I76" s="312"/>
      <c r="J76" s="312"/>
      <c r="K76" s="312"/>
      <c r="L76" s="312"/>
      <c r="M76" s="315"/>
    </row>
    <row r="77" spans="2:13" s="310" customFormat="1" ht="15" customHeight="1">
      <c r="B77" s="312"/>
      <c r="C77" s="331"/>
      <c r="D77" s="314">
        <f>SUM(D71:D76)</f>
        <v>7209566.482555991</v>
      </c>
      <c r="E77" s="448">
        <f t="shared" si="4"/>
        <v>100</v>
      </c>
      <c r="F77" s="312"/>
      <c r="G77" s="313"/>
      <c r="H77" s="312"/>
      <c r="I77" s="312"/>
      <c r="J77" s="312"/>
      <c r="K77" s="312"/>
      <c r="L77" s="312"/>
      <c r="M77" s="315"/>
    </row>
    <row r="78" spans="2:13" s="310" customFormat="1" ht="15" customHeight="1">
      <c r="B78" s="312"/>
      <c r="C78" s="331"/>
      <c r="D78" s="331"/>
      <c r="E78" s="331"/>
      <c r="F78" s="312"/>
      <c r="G78" s="313"/>
      <c r="H78" s="312"/>
      <c r="I78" s="312"/>
      <c r="J78" s="312"/>
      <c r="K78" s="312"/>
      <c r="L78" s="312"/>
      <c r="M78" s="315"/>
    </row>
    <row r="79" spans="2:13" s="310" customFormat="1" ht="15" customHeight="1">
      <c r="B79" s="312"/>
      <c r="C79" s="331"/>
      <c r="D79" s="331"/>
      <c r="E79" s="331"/>
      <c r="F79" s="312"/>
      <c r="G79" s="313"/>
      <c r="H79" s="312"/>
      <c r="I79" s="312"/>
      <c r="J79" s="312"/>
      <c r="K79" s="312"/>
      <c r="L79" s="312"/>
      <c r="M79" s="315"/>
    </row>
    <row r="80" spans="2:13" s="310" customFormat="1" ht="15" customHeight="1">
      <c r="B80" s="312"/>
      <c r="C80" s="331"/>
      <c r="D80" s="331"/>
      <c r="E80" s="331"/>
      <c r="F80" s="312"/>
      <c r="G80" s="313"/>
      <c r="H80" s="312"/>
      <c r="I80" s="312"/>
      <c r="J80" s="312"/>
      <c r="K80" s="312"/>
      <c r="L80" s="312"/>
      <c r="M80" s="315"/>
    </row>
    <row r="81" spans="2:13" s="310" customFormat="1" ht="15" customHeight="1">
      <c r="B81" s="312"/>
      <c r="C81" s="331"/>
      <c r="D81" s="331"/>
      <c r="E81" s="331"/>
      <c r="F81" s="312"/>
      <c r="G81" s="313"/>
      <c r="H81" s="312"/>
      <c r="I81" s="312"/>
      <c r="J81" s="312"/>
      <c r="K81" s="312"/>
      <c r="L81" s="312"/>
      <c r="M81" s="315"/>
    </row>
    <row r="82" spans="2:13" s="310" customFormat="1" ht="15" customHeight="1">
      <c r="B82" s="312"/>
      <c r="E82" s="341"/>
      <c r="F82" s="312"/>
      <c r="G82" s="313"/>
      <c r="H82" s="312"/>
      <c r="I82" s="312"/>
      <c r="J82" s="312"/>
      <c r="K82" s="312"/>
      <c r="L82" s="312"/>
      <c r="M82" s="315"/>
    </row>
    <row r="83" spans="2:13" s="310" customFormat="1" ht="15" customHeight="1">
      <c r="B83" s="312"/>
      <c r="E83" s="341"/>
      <c r="F83" s="312"/>
      <c r="G83" s="312"/>
      <c r="H83" s="312"/>
      <c r="I83" s="312"/>
      <c r="J83" s="312"/>
      <c r="K83" s="312"/>
      <c r="L83" s="312"/>
      <c r="M83" s="315"/>
    </row>
    <row r="84" spans="2:13" s="310" customFormat="1" ht="15" customHeight="1">
      <c r="B84" s="312"/>
      <c r="E84" s="341"/>
      <c r="F84" s="312"/>
      <c r="G84" s="312"/>
      <c r="H84" s="312"/>
      <c r="I84" s="312"/>
      <c r="J84" s="312"/>
      <c r="K84" s="312"/>
      <c r="L84" s="312"/>
      <c r="M84" s="315"/>
    </row>
    <row r="85" spans="2:13" s="310" customFormat="1" ht="15" customHeight="1">
      <c r="B85" s="312"/>
      <c r="E85" s="341"/>
      <c r="F85" s="312"/>
      <c r="G85" s="312"/>
      <c r="H85" s="312"/>
      <c r="I85" s="312"/>
      <c r="J85" s="312"/>
      <c r="K85" s="312"/>
      <c r="L85" s="312"/>
      <c r="M85" s="315"/>
    </row>
    <row r="86" spans="2:13" s="310" customFormat="1" ht="15" customHeight="1">
      <c r="B86" s="312"/>
      <c r="E86" s="341"/>
      <c r="F86" s="312"/>
      <c r="G86" s="312"/>
      <c r="H86" s="312"/>
      <c r="I86" s="312"/>
      <c r="J86" s="312"/>
      <c r="K86" s="312"/>
      <c r="L86" s="312"/>
      <c r="M86" s="315"/>
    </row>
    <row r="87" spans="2:13" s="310" customFormat="1" ht="15" customHeight="1">
      <c r="B87" s="312"/>
      <c r="E87" s="330"/>
      <c r="F87" s="312"/>
      <c r="G87" s="312"/>
      <c r="H87" s="312"/>
      <c r="I87" s="312"/>
      <c r="J87" s="312"/>
      <c r="K87" s="312"/>
      <c r="L87" s="312"/>
      <c r="M87" s="315"/>
    </row>
    <row r="88" spans="2:13" s="310" customFormat="1" ht="15" customHeight="1">
      <c r="B88" s="312"/>
      <c r="C88" s="312"/>
      <c r="D88" s="312"/>
      <c r="E88" s="312"/>
      <c r="F88" s="312"/>
      <c r="G88" s="312"/>
      <c r="H88" s="312"/>
      <c r="I88" s="312"/>
      <c r="J88" s="312"/>
      <c r="K88" s="312"/>
      <c r="L88" s="312"/>
      <c r="M88" s="315"/>
    </row>
    <row r="89" spans="2:13" s="310" customFormat="1" ht="15" customHeight="1">
      <c r="B89" s="312"/>
      <c r="C89" s="128" t="s">
        <v>148</v>
      </c>
      <c r="E89" s="312"/>
      <c r="F89" s="312"/>
      <c r="G89" s="128" t="s">
        <v>148</v>
      </c>
      <c r="H89" s="312"/>
      <c r="I89" s="312"/>
      <c r="J89" s="312"/>
      <c r="K89" s="312"/>
      <c r="L89" s="312"/>
      <c r="M89" s="315"/>
    </row>
    <row r="90" spans="2:13" s="310" customFormat="1" ht="15" customHeight="1">
      <c r="B90" s="312"/>
      <c r="E90" s="312"/>
      <c r="F90" s="312"/>
      <c r="G90" s="312"/>
      <c r="H90" s="312"/>
      <c r="I90" s="312"/>
      <c r="J90" s="312"/>
      <c r="K90" s="312"/>
      <c r="L90" s="312"/>
      <c r="M90" s="315"/>
    </row>
    <row r="91" spans="2:23" s="131" customFormat="1" ht="15" customHeight="1">
      <c r="B91" s="132"/>
      <c r="E91" s="132"/>
      <c r="F91" s="132"/>
      <c r="G91" s="132"/>
      <c r="H91" s="132"/>
      <c r="I91" s="132"/>
      <c r="J91" s="132"/>
      <c r="K91" s="132"/>
      <c r="L91" s="132"/>
      <c r="M91" s="315"/>
      <c r="N91" s="310"/>
      <c r="O91" s="310"/>
      <c r="P91" s="310"/>
      <c r="Q91" s="310"/>
      <c r="R91" s="310"/>
      <c r="S91" s="310"/>
      <c r="T91" s="310"/>
      <c r="U91" s="310"/>
      <c r="V91" s="310"/>
      <c r="W91" s="310"/>
    </row>
    <row r="92" spans="2:23" s="131" customFormat="1" ht="15" customHeight="1">
      <c r="B92" s="132"/>
      <c r="C92" s="133"/>
      <c r="D92" s="133"/>
      <c r="E92" s="132"/>
      <c r="F92" s="132"/>
      <c r="G92" s="132"/>
      <c r="H92" s="132"/>
      <c r="I92" s="132"/>
      <c r="J92" s="132"/>
      <c r="K92" s="132"/>
      <c r="L92" s="132"/>
      <c r="M92" s="315"/>
      <c r="N92" s="310"/>
      <c r="O92" s="310"/>
      <c r="P92" s="310"/>
      <c r="Q92" s="310"/>
      <c r="R92" s="310"/>
      <c r="S92" s="310"/>
      <c r="T92" s="310"/>
      <c r="U92" s="310"/>
      <c r="V92" s="310"/>
      <c r="W92" s="310"/>
    </row>
    <row r="93" spans="2:23" s="131" customFormat="1" ht="15" customHeight="1">
      <c r="B93" s="132"/>
      <c r="C93" s="133"/>
      <c r="D93" s="133"/>
      <c r="E93" s="132"/>
      <c r="F93" s="132"/>
      <c r="G93" s="132"/>
      <c r="H93" s="132"/>
      <c r="I93" s="132"/>
      <c r="J93" s="132"/>
      <c r="K93" s="132"/>
      <c r="L93" s="132"/>
      <c r="M93" s="315"/>
      <c r="N93" s="310"/>
      <c r="O93" s="310"/>
      <c r="P93" s="310"/>
      <c r="Q93" s="310"/>
      <c r="R93" s="310"/>
      <c r="S93" s="310"/>
      <c r="T93" s="310"/>
      <c r="U93" s="310"/>
      <c r="V93" s="310"/>
      <c r="W93" s="310"/>
    </row>
    <row r="94" spans="2:23" s="131" customFormat="1" ht="15" customHeight="1">
      <c r="B94" s="132"/>
      <c r="C94" s="133"/>
      <c r="D94" s="133"/>
      <c r="E94" s="132"/>
      <c r="F94" s="132"/>
      <c r="G94" s="132"/>
      <c r="H94" s="132"/>
      <c r="I94" s="132"/>
      <c r="J94" s="132"/>
      <c r="K94" s="132"/>
      <c r="L94" s="132"/>
      <c r="M94" s="315"/>
      <c r="N94" s="310"/>
      <c r="O94" s="310"/>
      <c r="P94" s="310"/>
      <c r="Q94" s="310"/>
      <c r="R94" s="310"/>
      <c r="S94" s="310"/>
      <c r="T94" s="310"/>
      <c r="U94" s="310"/>
      <c r="V94" s="310"/>
      <c r="W94" s="310"/>
    </row>
    <row r="95" spans="2:23" s="131" customFormat="1" ht="15" customHeight="1">
      <c r="B95" s="132"/>
      <c r="C95" s="133"/>
      <c r="D95" s="133"/>
      <c r="E95" s="132"/>
      <c r="F95" s="132"/>
      <c r="G95" s="132"/>
      <c r="H95" s="132"/>
      <c r="I95" s="132"/>
      <c r="J95" s="132"/>
      <c r="K95" s="132"/>
      <c r="L95" s="132"/>
      <c r="M95" s="315"/>
      <c r="N95" s="310"/>
      <c r="O95" s="310"/>
      <c r="P95" s="310"/>
      <c r="Q95" s="310"/>
      <c r="R95" s="310"/>
      <c r="S95" s="310"/>
      <c r="T95" s="310"/>
      <c r="U95" s="310"/>
      <c r="V95" s="310"/>
      <c r="W95" s="310"/>
    </row>
    <row r="96" spans="2:23" s="131" customFormat="1" ht="15" customHeight="1">
      <c r="B96" s="132"/>
      <c r="C96" s="134"/>
      <c r="D96" s="134"/>
      <c r="E96" s="132"/>
      <c r="F96" s="132"/>
      <c r="G96" s="132"/>
      <c r="H96" s="132"/>
      <c r="I96" s="132"/>
      <c r="J96" s="132"/>
      <c r="K96" s="132"/>
      <c r="L96" s="132"/>
      <c r="M96" s="315"/>
      <c r="N96" s="310"/>
      <c r="O96" s="310"/>
      <c r="P96" s="310"/>
      <c r="Q96" s="310"/>
      <c r="R96" s="310"/>
      <c r="S96" s="310"/>
      <c r="T96" s="310"/>
      <c r="U96" s="310"/>
      <c r="V96" s="310"/>
      <c r="W96" s="310"/>
    </row>
    <row r="97" spans="2:23" s="131" customFormat="1" ht="15" customHeight="1">
      <c r="B97" s="132"/>
      <c r="C97" s="133"/>
      <c r="D97" s="133"/>
      <c r="E97" s="132"/>
      <c r="F97" s="132"/>
      <c r="G97" s="132"/>
      <c r="H97" s="132"/>
      <c r="I97" s="132"/>
      <c r="J97" s="132"/>
      <c r="K97" s="132"/>
      <c r="L97" s="132"/>
      <c r="M97" s="315"/>
      <c r="N97" s="310"/>
      <c r="O97" s="310"/>
      <c r="P97" s="310"/>
      <c r="Q97" s="310"/>
      <c r="R97" s="310"/>
      <c r="S97" s="310"/>
      <c r="T97" s="310"/>
      <c r="U97" s="310"/>
      <c r="V97" s="310"/>
      <c r="W97" s="310"/>
    </row>
    <row r="98" spans="2:23" s="131" customFormat="1" ht="15" customHeight="1">
      <c r="B98" s="132"/>
      <c r="C98" s="133"/>
      <c r="D98" s="133"/>
      <c r="E98" s="132"/>
      <c r="F98" s="132"/>
      <c r="G98" s="132"/>
      <c r="H98" s="132"/>
      <c r="I98" s="132"/>
      <c r="J98" s="132"/>
      <c r="K98" s="132"/>
      <c r="L98" s="132"/>
      <c r="M98" s="315"/>
      <c r="N98" s="310"/>
      <c r="O98" s="310"/>
      <c r="P98" s="310"/>
      <c r="Q98" s="310"/>
      <c r="R98" s="310"/>
      <c r="S98" s="310"/>
      <c r="T98" s="310"/>
      <c r="U98" s="310"/>
      <c r="V98" s="310"/>
      <c r="W98" s="310"/>
    </row>
    <row r="99" spans="2:23" s="131" customFormat="1" ht="15" customHeight="1"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315"/>
      <c r="N99" s="310"/>
      <c r="O99" s="310"/>
      <c r="P99" s="310"/>
      <c r="Q99" s="310"/>
      <c r="R99" s="310"/>
      <c r="S99" s="310"/>
      <c r="T99" s="310"/>
      <c r="U99" s="310"/>
      <c r="V99" s="310"/>
      <c r="W99" s="310"/>
    </row>
    <row r="100" spans="2:23" s="131" customFormat="1" ht="15" customHeight="1">
      <c r="B100" s="132"/>
      <c r="C100" s="133"/>
      <c r="D100" s="133"/>
      <c r="E100" s="132"/>
      <c r="F100" s="132"/>
      <c r="G100" s="132"/>
      <c r="H100" s="132"/>
      <c r="I100" s="132"/>
      <c r="J100" s="132"/>
      <c r="K100" s="132"/>
      <c r="L100" s="132"/>
      <c r="M100" s="315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</row>
    <row r="101" spans="2:23" s="131" customFormat="1" ht="15" customHeight="1">
      <c r="B101" s="132"/>
      <c r="C101" s="134"/>
      <c r="D101" s="134"/>
      <c r="E101" s="132"/>
      <c r="F101" s="132"/>
      <c r="G101" s="132"/>
      <c r="H101" s="132"/>
      <c r="I101" s="132"/>
      <c r="J101" s="132"/>
      <c r="K101" s="132"/>
      <c r="L101" s="132"/>
      <c r="M101" s="315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</row>
    <row r="102" spans="2:23" s="131" customFormat="1" ht="15" customHeight="1">
      <c r="B102" s="132"/>
      <c r="C102" s="133"/>
      <c r="D102" s="133"/>
      <c r="E102" s="132"/>
      <c r="F102" s="132"/>
      <c r="G102" s="132"/>
      <c r="H102" s="132"/>
      <c r="I102" s="132"/>
      <c r="J102" s="132"/>
      <c r="K102" s="132"/>
      <c r="L102" s="132"/>
      <c r="M102" s="315"/>
      <c r="N102" s="310"/>
      <c r="O102" s="310"/>
      <c r="P102" s="310"/>
      <c r="Q102" s="310"/>
      <c r="R102" s="310"/>
      <c r="S102" s="310"/>
      <c r="T102" s="310"/>
      <c r="U102" s="310"/>
      <c r="V102" s="310"/>
      <c r="W102" s="310"/>
    </row>
    <row r="103" spans="2:23" s="131" customFormat="1" ht="15" customHeight="1"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315"/>
      <c r="N103" s="310"/>
      <c r="O103" s="310"/>
      <c r="P103" s="310"/>
      <c r="Q103" s="310"/>
      <c r="R103" s="310"/>
      <c r="S103" s="310"/>
      <c r="T103" s="310"/>
      <c r="U103" s="310"/>
      <c r="V103" s="310"/>
      <c r="W103" s="310"/>
    </row>
    <row r="104" spans="2:23" s="131" customFormat="1" ht="15" customHeight="1"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315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</row>
    <row r="105" spans="2:23" s="131" customFormat="1" ht="15" customHeight="1"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315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</row>
    <row r="106" spans="2:23" s="131" customFormat="1" ht="15" customHeight="1"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315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</row>
    <row r="107" spans="2:13" ht="15" customHeight="1">
      <c r="B107" s="134"/>
      <c r="E107" s="134"/>
      <c r="F107" s="134"/>
      <c r="G107" s="134"/>
      <c r="H107" s="134"/>
      <c r="I107" s="134"/>
      <c r="J107" s="134"/>
      <c r="K107" s="134"/>
      <c r="L107" s="134"/>
      <c r="M107" s="315"/>
    </row>
    <row r="108" spans="2:13" ht="15" customHeight="1">
      <c r="B108" s="134"/>
      <c r="C108" s="132"/>
      <c r="D108" s="132"/>
      <c r="E108" s="134"/>
      <c r="F108" s="134"/>
      <c r="G108" s="134"/>
      <c r="H108" s="134"/>
      <c r="I108" s="134"/>
      <c r="J108" s="134"/>
      <c r="K108" s="134"/>
      <c r="L108" s="134"/>
      <c r="M108" s="315"/>
    </row>
    <row r="109" spans="2:13" ht="15" customHeight="1"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315"/>
    </row>
    <row r="110" spans="2:13" ht="15" customHeight="1">
      <c r="B110" s="134"/>
      <c r="E110" s="134"/>
      <c r="F110" s="134"/>
      <c r="G110" s="134"/>
      <c r="H110" s="134"/>
      <c r="I110" s="134"/>
      <c r="J110" s="134"/>
      <c r="K110" s="134"/>
      <c r="L110" s="134"/>
      <c r="M110" s="315"/>
    </row>
    <row r="111" spans="2:13" ht="15" customHeight="1">
      <c r="B111" s="134"/>
      <c r="E111" s="134"/>
      <c r="F111" s="134"/>
      <c r="G111" s="134"/>
      <c r="H111" s="134"/>
      <c r="I111" s="134"/>
      <c r="J111" s="134"/>
      <c r="K111" s="134"/>
      <c r="L111" s="134"/>
      <c r="M111" s="315"/>
    </row>
    <row r="112" spans="2:13" ht="15" customHeight="1">
      <c r="B112" s="134"/>
      <c r="C112" s="132"/>
      <c r="D112" s="132"/>
      <c r="E112" s="134"/>
      <c r="F112" s="134"/>
      <c r="G112" s="134"/>
      <c r="H112" s="134"/>
      <c r="I112" s="134"/>
      <c r="J112" s="134"/>
      <c r="K112" s="134"/>
      <c r="L112" s="134"/>
      <c r="M112" s="315"/>
    </row>
    <row r="113" spans="2:13" ht="15" customHeight="1">
      <c r="B113" s="134"/>
      <c r="C113" s="132"/>
      <c r="D113" s="132"/>
      <c r="E113" s="134"/>
      <c r="F113" s="134"/>
      <c r="G113" s="134"/>
      <c r="H113" s="134"/>
      <c r="I113" s="134"/>
      <c r="J113" s="134"/>
      <c r="K113" s="134"/>
      <c r="L113" s="134"/>
      <c r="M113" s="315"/>
    </row>
    <row r="114" spans="2:13" ht="15" customHeight="1">
      <c r="B114" s="134"/>
      <c r="C114" s="132"/>
      <c r="D114" s="132"/>
      <c r="E114" s="134"/>
      <c r="F114" s="134"/>
      <c r="G114" s="134"/>
      <c r="H114" s="134"/>
      <c r="I114" s="134"/>
      <c r="J114" s="134"/>
      <c r="K114" s="134"/>
      <c r="L114" s="134"/>
      <c r="M114" s="315"/>
    </row>
    <row r="115" spans="3:4" ht="12.75">
      <c r="C115" s="132"/>
      <c r="D115" s="132"/>
    </row>
    <row r="118" spans="3:4" ht="12.75">
      <c r="C118" s="132"/>
      <c r="D118" s="132"/>
    </row>
    <row r="119" spans="3:4" ht="12.75">
      <c r="C119" s="132"/>
      <c r="D119" s="132"/>
    </row>
    <row r="120" spans="3:4" ht="12.75">
      <c r="C120" s="132"/>
      <c r="D120" s="132"/>
    </row>
    <row r="121" spans="3:4" ht="12.75">
      <c r="C121" s="134"/>
      <c r="D121" s="134"/>
    </row>
    <row r="123" spans="3:4" ht="12.75">
      <c r="C123" s="132"/>
      <c r="D123" s="132"/>
    </row>
    <row r="124" spans="3:4" ht="12.75">
      <c r="C124" s="132"/>
      <c r="D124" s="132"/>
    </row>
    <row r="125" spans="3:4" ht="12.75">
      <c r="C125" s="132"/>
      <c r="D125" s="132"/>
    </row>
    <row r="126" spans="3:4" ht="12.75">
      <c r="C126" s="134"/>
      <c r="D126" s="134"/>
    </row>
    <row r="127" spans="3:4" ht="12.75">
      <c r="C127" s="134"/>
      <c r="D127" s="134"/>
    </row>
    <row r="128" spans="3:4" ht="12.75">
      <c r="C128" s="132"/>
      <c r="D128" s="132"/>
    </row>
    <row r="129" spans="3:4" ht="12.75">
      <c r="C129" s="134"/>
      <c r="D129" s="134"/>
    </row>
    <row r="131" spans="3:4" ht="12.75">
      <c r="C131" s="132"/>
      <c r="D131" s="132"/>
    </row>
    <row r="132" spans="3:4" ht="12.75">
      <c r="C132" s="132"/>
      <c r="D132" s="132"/>
    </row>
    <row r="134" spans="3:4" ht="12.75">
      <c r="C134" s="132"/>
      <c r="D134" s="132"/>
    </row>
    <row r="135" spans="3:4" ht="12.75">
      <c r="C135" s="132"/>
      <c r="D135" s="132"/>
    </row>
  </sheetData>
  <sheetProtection/>
  <mergeCells count="9">
    <mergeCell ref="B2:L2"/>
    <mergeCell ref="B3:L3"/>
    <mergeCell ref="B4:L4"/>
    <mergeCell ref="B9:C9"/>
    <mergeCell ref="F6:F7"/>
    <mergeCell ref="G6:L6"/>
    <mergeCell ref="K7:L7"/>
    <mergeCell ref="B6:C7"/>
    <mergeCell ref="D6:D7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5"/>
  <sheetViews>
    <sheetView showGridLines="0" zoomScale="80" zoomScaleNormal="80" zoomScaleSheetLayoutView="90" zoomScalePageLayoutView="0" workbookViewId="0" topLeftCell="A1">
      <pane xSplit="3" ySplit="10" topLeftCell="D5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P53" sqref="P53"/>
    </sheetView>
  </sheetViews>
  <sheetFormatPr defaultColWidth="9.140625" defaultRowHeight="12.75"/>
  <cols>
    <col min="1" max="1" width="3.140625" style="7" customWidth="1"/>
    <col min="2" max="2" width="1.1484375" style="7" customWidth="1"/>
    <col min="3" max="3" width="31.140625" style="7" customWidth="1"/>
    <col min="4" max="4" width="16.7109375" style="7" customWidth="1"/>
    <col min="5" max="5" width="17.28125" style="7" customWidth="1"/>
    <col min="6" max="6" width="16.140625" style="7" customWidth="1"/>
    <col min="7" max="7" width="13.7109375" style="7" customWidth="1"/>
    <col min="8" max="8" width="16.7109375" style="7" customWidth="1"/>
    <col min="9" max="9" width="13.8515625" style="7" customWidth="1"/>
    <col min="10" max="10" width="17.28125" style="7" customWidth="1"/>
    <col min="11" max="11" width="13.140625" style="7" customWidth="1"/>
    <col min="12" max="12" width="1.8515625" style="7" customWidth="1"/>
    <col min="13" max="13" width="18.8515625" style="7" bestFit="1" customWidth="1"/>
    <col min="14" max="14" width="18.7109375" style="7" customWidth="1"/>
    <col min="15" max="15" width="15.57421875" style="7" customWidth="1"/>
    <col min="16" max="19" width="9.140625" style="7" customWidth="1"/>
    <col min="20" max="20" width="30.00390625" style="7" customWidth="1"/>
    <col min="21" max="16384" width="9.140625" style="7" customWidth="1"/>
  </cols>
  <sheetData>
    <row r="2" spans="2:13" s="6" customFormat="1" ht="16.5">
      <c r="B2" s="493" t="s">
        <v>237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63"/>
    </row>
    <row r="3" spans="2:13" s="6" customFormat="1" ht="16.5">
      <c r="B3" s="493" t="s">
        <v>292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63"/>
    </row>
    <row r="4" spans="2:13" s="6" customFormat="1" ht="16.5">
      <c r="B4" s="465" t="s">
        <v>145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157"/>
    </row>
    <row r="5" s="6" customFormat="1" ht="6.75" customHeight="1"/>
    <row r="6" spans="2:12" s="27" customFormat="1" ht="21.75" customHeight="1">
      <c r="B6" s="498" t="s">
        <v>207</v>
      </c>
      <c r="C6" s="499"/>
      <c r="D6" s="254"/>
      <c r="E6" s="490" t="s">
        <v>142</v>
      </c>
      <c r="F6" s="491"/>
      <c r="G6" s="491"/>
      <c r="H6" s="491"/>
      <c r="I6" s="491"/>
      <c r="J6" s="491"/>
      <c r="K6" s="491"/>
      <c r="L6" s="492"/>
    </row>
    <row r="7" spans="2:12" s="27" customFormat="1" ht="21.75" customHeight="1">
      <c r="B7" s="500"/>
      <c r="C7" s="501"/>
      <c r="D7" s="158" t="s">
        <v>1</v>
      </c>
      <c r="E7" s="496" t="s">
        <v>152</v>
      </c>
      <c r="F7" s="496" t="s">
        <v>151</v>
      </c>
      <c r="G7" s="496" t="s">
        <v>150</v>
      </c>
      <c r="H7" s="490" t="s">
        <v>157</v>
      </c>
      <c r="I7" s="491"/>
      <c r="J7" s="491"/>
      <c r="K7" s="491"/>
      <c r="L7" s="492"/>
    </row>
    <row r="8" spans="2:12" s="27" customFormat="1" ht="21.75" customHeight="1">
      <c r="B8" s="502"/>
      <c r="C8" s="503"/>
      <c r="D8" s="255"/>
      <c r="E8" s="497"/>
      <c r="F8" s="497"/>
      <c r="G8" s="497" t="s">
        <v>97</v>
      </c>
      <c r="H8" s="253" t="s">
        <v>1</v>
      </c>
      <c r="I8" s="253" t="s">
        <v>171</v>
      </c>
      <c r="J8" s="253" t="s">
        <v>208</v>
      </c>
      <c r="K8" s="490" t="s">
        <v>236</v>
      </c>
      <c r="L8" s="492"/>
    </row>
    <row r="9" spans="2:12" s="20" customFormat="1" ht="8.25" customHeight="1">
      <c r="B9" s="60"/>
      <c r="C9" s="61"/>
      <c r="D9" s="61"/>
      <c r="E9" s="61"/>
      <c r="F9" s="61"/>
      <c r="G9" s="61"/>
      <c r="H9" s="61"/>
      <c r="I9" s="61"/>
      <c r="J9" s="61"/>
      <c r="K9" s="61"/>
      <c r="L9" s="62"/>
    </row>
    <row r="10" spans="2:18" s="20" customFormat="1" ht="15.75">
      <c r="B10" s="494" t="s">
        <v>1</v>
      </c>
      <c r="C10" s="495"/>
      <c r="D10" s="155">
        <f>SUM(E10:H10)</f>
        <v>89795.24663000001</v>
      </c>
      <c r="E10" s="155">
        <f>SUM(E12,E39,E48)</f>
        <v>79500.99673000001</v>
      </c>
      <c r="F10" s="155">
        <f>SUM(F12,F39,F48)</f>
        <v>6067.5855</v>
      </c>
      <c r="G10" s="155">
        <f>SUM(G12,G39,G48)</f>
        <v>0</v>
      </c>
      <c r="H10" s="155">
        <f>SUM(I10:K10)</f>
        <v>4226.664400000001</v>
      </c>
      <c r="I10" s="155">
        <f>+I12+I39+I48</f>
        <v>310.4844</v>
      </c>
      <c r="J10" s="155">
        <f>+J12+J39+J48</f>
        <v>3916.0685000000003</v>
      </c>
      <c r="K10" s="155">
        <f>+K12+K39+K48</f>
        <v>0.1115</v>
      </c>
      <c r="L10" s="159"/>
      <c r="M10" s="194"/>
      <c r="N10" s="431"/>
      <c r="O10" s="432"/>
      <c r="P10" s="432"/>
      <c r="Q10" s="432"/>
      <c r="R10" s="18"/>
    </row>
    <row r="11" spans="2:18" s="24" customFormat="1" ht="9" customHeight="1">
      <c r="B11" s="171"/>
      <c r="C11" s="105"/>
      <c r="D11" s="80"/>
      <c r="E11" s="80"/>
      <c r="F11" s="80"/>
      <c r="G11" s="80"/>
      <c r="H11" s="80"/>
      <c r="I11" s="80"/>
      <c r="J11" s="80"/>
      <c r="K11" s="80"/>
      <c r="L11" s="170"/>
      <c r="M11" s="79"/>
      <c r="N11" s="196"/>
      <c r="O11" s="196"/>
      <c r="P11" s="196"/>
      <c r="Q11" s="196"/>
      <c r="R11" s="19"/>
    </row>
    <row r="12" spans="2:18" s="24" customFormat="1" ht="15" customHeight="1">
      <c r="B12" s="160"/>
      <c r="C12" s="161" t="s">
        <v>249</v>
      </c>
      <c r="D12" s="155">
        <f aca="true" t="shared" si="0" ref="D12:K12">SUM(D14:D37)</f>
        <v>17994.9326</v>
      </c>
      <c r="E12" s="155">
        <f t="shared" si="0"/>
        <v>13768.379700000001</v>
      </c>
      <c r="F12" s="155">
        <f t="shared" si="0"/>
        <v>0</v>
      </c>
      <c r="G12" s="155">
        <f t="shared" si="0"/>
        <v>0</v>
      </c>
      <c r="H12" s="155">
        <f t="shared" si="0"/>
        <v>4226.5529</v>
      </c>
      <c r="I12" s="155">
        <f>SUM(I14:I37)</f>
        <v>310.4844</v>
      </c>
      <c r="J12" s="155">
        <f>SUM(J14:J37)</f>
        <v>3916.0685000000003</v>
      </c>
      <c r="K12" s="155">
        <f t="shared" si="0"/>
        <v>0</v>
      </c>
      <c r="L12" s="159"/>
      <c r="M12" s="79"/>
      <c r="N12" s="196"/>
      <c r="O12" s="196"/>
      <c r="P12" s="196"/>
      <c r="Q12" s="196"/>
      <c r="R12" s="19"/>
    </row>
    <row r="13" spans="2:18" s="24" customFormat="1" ht="7.5" customHeight="1">
      <c r="B13" s="171"/>
      <c r="C13" s="105"/>
      <c r="D13" s="80"/>
      <c r="E13" s="80"/>
      <c r="F13" s="80"/>
      <c r="G13" s="80"/>
      <c r="H13" s="80"/>
      <c r="I13" s="80"/>
      <c r="J13" s="80"/>
      <c r="K13" s="80"/>
      <c r="L13" s="170"/>
      <c r="M13" s="79"/>
      <c r="N13" s="196"/>
      <c r="O13" s="196"/>
      <c r="P13" s="196"/>
      <c r="Q13" s="196"/>
      <c r="R13" s="19"/>
    </row>
    <row r="14" spans="1:21" s="24" customFormat="1" ht="16.5" customHeight="1">
      <c r="A14" s="29"/>
      <c r="B14" s="171"/>
      <c r="C14" s="105" t="s">
        <v>209</v>
      </c>
      <c r="D14" s="80">
        <f aca="true" t="shared" si="1" ref="D14:D37">SUM(E14,F14,H14)</f>
        <v>334.15</v>
      </c>
      <c r="E14" s="80">
        <v>269.84</v>
      </c>
      <c r="F14" s="80" t="s">
        <v>21</v>
      </c>
      <c r="G14" s="80" t="s">
        <v>21</v>
      </c>
      <c r="H14" s="80">
        <f aca="true" t="shared" si="2" ref="H14:H36">SUM(I14:K14)</f>
        <v>64.31</v>
      </c>
      <c r="I14" s="449">
        <v>6.44</v>
      </c>
      <c r="J14" s="449">
        <v>57.87</v>
      </c>
      <c r="K14" s="80" t="s">
        <v>21</v>
      </c>
      <c r="L14" s="170"/>
      <c r="M14" s="79"/>
      <c r="N14" s="195"/>
      <c r="O14" s="195"/>
      <c r="P14" s="196"/>
      <c r="Q14" s="196"/>
      <c r="R14" s="19"/>
      <c r="T14" s="98"/>
      <c r="U14" s="28"/>
    </row>
    <row r="15" spans="1:21" s="24" customFormat="1" ht="16.5" customHeight="1">
      <c r="A15" s="29"/>
      <c r="B15" s="171"/>
      <c r="C15" s="105" t="s">
        <v>210</v>
      </c>
      <c r="D15" s="80">
        <f t="shared" si="1"/>
        <v>485.53000000000003</v>
      </c>
      <c r="E15" s="80">
        <v>112.79</v>
      </c>
      <c r="F15" s="80" t="s">
        <v>21</v>
      </c>
      <c r="G15" s="80" t="s">
        <v>21</v>
      </c>
      <c r="H15" s="80">
        <f t="shared" si="2"/>
        <v>372.74</v>
      </c>
      <c r="I15" s="449">
        <v>88.17</v>
      </c>
      <c r="J15" s="449">
        <v>284.57</v>
      </c>
      <c r="K15" s="80" t="s">
        <v>21</v>
      </c>
      <c r="L15" s="170"/>
      <c r="M15" s="79"/>
      <c r="N15" s="196"/>
      <c r="O15" s="196"/>
      <c r="P15" s="196"/>
      <c r="Q15" s="196"/>
      <c r="R15" s="19"/>
      <c r="T15" s="98"/>
      <c r="U15" s="28"/>
    </row>
    <row r="16" spans="1:21" s="24" customFormat="1" ht="16.5" customHeight="1">
      <c r="A16" s="29"/>
      <c r="B16" s="171"/>
      <c r="C16" s="105" t="s">
        <v>211</v>
      </c>
      <c r="D16" s="80">
        <f t="shared" si="1"/>
        <v>4386.37</v>
      </c>
      <c r="E16" s="80">
        <v>3368.59</v>
      </c>
      <c r="F16" s="80"/>
      <c r="G16" s="80" t="s">
        <v>21</v>
      </c>
      <c r="H16" s="80">
        <f t="shared" si="2"/>
        <v>1017.78</v>
      </c>
      <c r="I16" s="450">
        <v>55.99</v>
      </c>
      <c r="J16" s="450">
        <v>961.79</v>
      </c>
      <c r="K16" s="80" t="s">
        <v>21</v>
      </c>
      <c r="L16" s="170"/>
      <c r="M16" s="79"/>
      <c r="N16" s="196"/>
      <c r="O16" s="196"/>
      <c r="P16" s="196"/>
      <c r="Q16" s="196"/>
      <c r="R16" s="19"/>
      <c r="T16"/>
      <c r="U16" s="7"/>
    </row>
    <row r="17" spans="1:21" s="24" customFormat="1" ht="16.5" customHeight="1">
      <c r="A17" s="29"/>
      <c r="B17" s="171"/>
      <c r="C17" s="105" t="s">
        <v>212</v>
      </c>
      <c r="D17" s="80">
        <f t="shared" si="1"/>
        <v>531.7900000000001</v>
      </c>
      <c r="E17" s="80">
        <v>530.2</v>
      </c>
      <c r="F17" s="141" t="s">
        <v>21</v>
      </c>
      <c r="G17" s="80" t="s">
        <v>21</v>
      </c>
      <c r="H17" s="80">
        <f t="shared" si="2"/>
        <v>1.59</v>
      </c>
      <c r="I17" s="450">
        <v>1.59</v>
      </c>
      <c r="J17" s="450" t="s">
        <v>21</v>
      </c>
      <c r="K17" s="80" t="s">
        <v>21</v>
      </c>
      <c r="L17" s="170"/>
      <c r="M17" s="79"/>
      <c r="N17" s="196"/>
      <c r="O17" s="196"/>
      <c r="P17" s="196"/>
      <c r="Q17" s="196"/>
      <c r="R17" s="19"/>
      <c r="T17"/>
      <c r="U17" s="7"/>
    </row>
    <row r="18" spans="1:21" s="24" customFormat="1" ht="16.5" customHeight="1">
      <c r="A18" s="29"/>
      <c r="B18" s="171"/>
      <c r="C18" s="105" t="s">
        <v>213</v>
      </c>
      <c r="D18" s="80">
        <f t="shared" si="1"/>
        <v>364.89</v>
      </c>
      <c r="E18" s="80">
        <v>364.89</v>
      </c>
      <c r="F18" s="141" t="s">
        <v>21</v>
      </c>
      <c r="G18" s="80" t="s">
        <v>21</v>
      </c>
      <c r="H18" s="80">
        <f t="shared" si="2"/>
        <v>0</v>
      </c>
      <c r="I18" s="450" t="s">
        <v>21</v>
      </c>
      <c r="J18" s="450" t="s">
        <v>21</v>
      </c>
      <c r="K18" s="80" t="s">
        <v>21</v>
      </c>
      <c r="L18" s="170"/>
      <c r="N18" s="19"/>
      <c r="O18" s="19"/>
      <c r="P18" s="19"/>
      <c r="Q18" s="19"/>
      <c r="R18" s="19"/>
      <c r="T18"/>
      <c r="U18" s="7"/>
    </row>
    <row r="19" spans="1:21" s="24" customFormat="1" ht="16.5" customHeight="1">
      <c r="A19" s="29"/>
      <c r="B19" s="171"/>
      <c r="C19" s="105" t="s">
        <v>214</v>
      </c>
      <c r="D19" s="80">
        <f t="shared" si="1"/>
        <v>275.14</v>
      </c>
      <c r="E19" s="80">
        <v>244.98</v>
      </c>
      <c r="F19" s="141" t="s">
        <v>21</v>
      </c>
      <c r="G19" s="80" t="s">
        <v>21</v>
      </c>
      <c r="H19" s="80">
        <f>SUM(I19:K19)</f>
        <v>30.16</v>
      </c>
      <c r="I19" s="450">
        <v>0.32</v>
      </c>
      <c r="J19" s="450">
        <v>29.84</v>
      </c>
      <c r="K19" s="80" t="s">
        <v>21</v>
      </c>
      <c r="L19" s="170"/>
      <c r="N19" s="174"/>
      <c r="O19" s="174"/>
      <c r="P19" s="19"/>
      <c r="Q19" s="174"/>
      <c r="R19" s="174"/>
      <c r="T19"/>
      <c r="U19" s="7"/>
    </row>
    <row r="20" spans="1:21" s="24" customFormat="1" ht="16.5" customHeight="1">
      <c r="A20" s="29"/>
      <c r="B20" s="171"/>
      <c r="C20" s="105" t="s">
        <v>215</v>
      </c>
      <c r="D20" s="80">
        <f t="shared" si="1"/>
        <v>663.4</v>
      </c>
      <c r="E20" s="80">
        <v>494.02</v>
      </c>
      <c r="F20" s="141" t="s">
        <v>21</v>
      </c>
      <c r="G20" s="80" t="s">
        <v>21</v>
      </c>
      <c r="H20" s="80">
        <f t="shared" si="2"/>
        <v>169.38</v>
      </c>
      <c r="I20" s="450">
        <v>3.39</v>
      </c>
      <c r="J20" s="450">
        <v>165.99</v>
      </c>
      <c r="K20" s="80" t="s">
        <v>21</v>
      </c>
      <c r="L20" s="170"/>
      <c r="N20" s="19"/>
      <c r="O20" s="19"/>
      <c r="P20" s="19"/>
      <c r="Q20" s="174"/>
      <c r="R20" s="174"/>
      <c r="T20"/>
      <c r="U20" s="7"/>
    </row>
    <row r="21" spans="1:21" s="24" customFormat="1" ht="16.5" customHeight="1">
      <c r="A21" s="29"/>
      <c r="B21" s="171"/>
      <c r="C21" s="105" t="s">
        <v>216</v>
      </c>
      <c r="D21" s="80">
        <f t="shared" si="1"/>
        <v>35.36</v>
      </c>
      <c r="E21" s="80">
        <v>26.21</v>
      </c>
      <c r="F21" s="141" t="s">
        <v>21</v>
      </c>
      <c r="G21" s="80" t="s">
        <v>21</v>
      </c>
      <c r="H21" s="80">
        <f t="shared" si="2"/>
        <v>9.15</v>
      </c>
      <c r="I21" s="450">
        <v>0.16</v>
      </c>
      <c r="J21" s="450">
        <v>8.99</v>
      </c>
      <c r="K21" s="80" t="s">
        <v>21</v>
      </c>
      <c r="L21" s="170"/>
      <c r="N21" s="19"/>
      <c r="O21" s="19"/>
      <c r="P21" s="19"/>
      <c r="Q21" s="174"/>
      <c r="R21" s="174"/>
      <c r="T21"/>
      <c r="U21" s="7"/>
    </row>
    <row r="22" spans="1:21" s="24" customFormat="1" ht="16.5" customHeight="1">
      <c r="A22" s="29"/>
      <c r="B22" s="171"/>
      <c r="C22" s="105" t="s">
        <v>217</v>
      </c>
      <c r="D22" s="80">
        <f t="shared" si="1"/>
        <v>520.89</v>
      </c>
      <c r="E22" s="80">
        <v>305.2</v>
      </c>
      <c r="F22" s="141" t="s">
        <v>21</v>
      </c>
      <c r="G22" s="80" t="s">
        <v>21</v>
      </c>
      <c r="H22" s="80">
        <f t="shared" si="2"/>
        <v>215.69</v>
      </c>
      <c r="I22" s="450">
        <v>5.51</v>
      </c>
      <c r="J22" s="450">
        <v>210.18</v>
      </c>
      <c r="K22" s="80" t="s">
        <v>21</v>
      </c>
      <c r="L22" s="170"/>
      <c r="N22" s="19"/>
      <c r="O22" s="19"/>
      <c r="P22" s="19"/>
      <c r="Q22" s="174"/>
      <c r="R22" s="174"/>
      <c r="T22"/>
      <c r="U22" s="7"/>
    </row>
    <row r="23" spans="1:21" s="24" customFormat="1" ht="16.5" customHeight="1">
      <c r="A23" s="29"/>
      <c r="B23" s="171"/>
      <c r="C23" s="105" t="s">
        <v>218</v>
      </c>
      <c r="D23" s="80">
        <f t="shared" si="1"/>
        <v>76.16</v>
      </c>
      <c r="E23" s="80">
        <v>67.34</v>
      </c>
      <c r="F23" s="141" t="s">
        <v>21</v>
      </c>
      <c r="G23" s="80" t="s">
        <v>21</v>
      </c>
      <c r="H23" s="80">
        <f t="shared" si="2"/>
        <v>8.82</v>
      </c>
      <c r="I23" s="450">
        <v>0.57</v>
      </c>
      <c r="J23" s="450">
        <v>8.25</v>
      </c>
      <c r="K23" s="80" t="s">
        <v>21</v>
      </c>
      <c r="L23" s="170"/>
      <c r="N23" s="174"/>
      <c r="O23" s="174"/>
      <c r="P23" s="19"/>
      <c r="Q23" s="139"/>
      <c r="R23" s="139"/>
      <c r="T23"/>
      <c r="U23" s="7"/>
    </row>
    <row r="24" spans="1:21" s="24" customFormat="1" ht="16.5" customHeight="1">
      <c r="A24" s="29"/>
      <c r="B24" s="171"/>
      <c r="C24" s="105" t="s">
        <v>219</v>
      </c>
      <c r="D24" s="80">
        <f t="shared" si="1"/>
        <v>442.21999999999997</v>
      </c>
      <c r="E24" s="80">
        <v>401.64</v>
      </c>
      <c r="F24" s="141" t="s">
        <v>21</v>
      </c>
      <c r="G24" s="80" t="s">
        <v>21</v>
      </c>
      <c r="H24" s="80">
        <f t="shared" si="2"/>
        <v>40.580000000000005</v>
      </c>
      <c r="I24" s="450">
        <v>1.81</v>
      </c>
      <c r="J24" s="450">
        <v>38.77</v>
      </c>
      <c r="K24" s="80" t="s">
        <v>21</v>
      </c>
      <c r="L24" s="170"/>
      <c r="N24" s="19"/>
      <c r="O24" s="19"/>
      <c r="P24" s="19"/>
      <c r="Q24" s="174"/>
      <c r="R24" s="174"/>
      <c r="T24"/>
      <c r="U24" s="7"/>
    </row>
    <row r="25" spans="1:21" s="24" customFormat="1" ht="16.5" customHeight="1">
      <c r="A25" s="29"/>
      <c r="B25" s="171"/>
      <c r="C25" s="105" t="s">
        <v>220</v>
      </c>
      <c r="D25" s="80">
        <f t="shared" si="1"/>
        <v>1033.06</v>
      </c>
      <c r="E25" s="80">
        <v>801.97</v>
      </c>
      <c r="F25" s="141" t="s">
        <v>21</v>
      </c>
      <c r="G25" s="80" t="s">
        <v>21</v>
      </c>
      <c r="H25" s="80">
        <f t="shared" si="2"/>
        <v>231.08999999999997</v>
      </c>
      <c r="I25" s="450">
        <v>38.64</v>
      </c>
      <c r="J25" s="450">
        <v>192.45</v>
      </c>
      <c r="K25" s="80" t="s">
        <v>21</v>
      </c>
      <c r="L25" s="170"/>
      <c r="N25" s="19"/>
      <c r="O25" s="19"/>
      <c r="P25" s="19"/>
      <c r="Q25" s="174"/>
      <c r="R25" s="174"/>
      <c r="T25"/>
      <c r="U25" s="7"/>
    </row>
    <row r="26" spans="1:21" s="24" customFormat="1" ht="16.5" customHeight="1">
      <c r="A26" s="29"/>
      <c r="B26" s="171"/>
      <c r="C26" s="105" t="s">
        <v>221</v>
      </c>
      <c r="D26" s="80">
        <f t="shared" si="1"/>
        <v>1132.9299999999998</v>
      </c>
      <c r="E26" s="80">
        <v>722.27</v>
      </c>
      <c r="F26" s="141" t="s">
        <v>21</v>
      </c>
      <c r="G26" s="80" t="s">
        <v>21</v>
      </c>
      <c r="H26" s="80">
        <f t="shared" si="2"/>
        <v>410.65999999999997</v>
      </c>
      <c r="I26" s="450">
        <v>37.38</v>
      </c>
      <c r="J26" s="450">
        <v>373.28</v>
      </c>
      <c r="K26" s="80" t="s">
        <v>21</v>
      </c>
      <c r="L26" s="170"/>
      <c r="N26" s="19"/>
      <c r="O26" s="19"/>
      <c r="P26" s="19"/>
      <c r="Q26" s="174"/>
      <c r="R26" s="174"/>
      <c r="T26"/>
      <c r="U26" s="7"/>
    </row>
    <row r="27" spans="1:22" s="24" customFormat="1" ht="16.5" customHeight="1">
      <c r="A27" s="29"/>
      <c r="B27" s="171"/>
      <c r="C27" s="105" t="s">
        <v>222</v>
      </c>
      <c r="D27" s="80">
        <f t="shared" si="1"/>
        <v>640.2897000000002</v>
      </c>
      <c r="E27" s="80">
        <v>454.04970000000014</v>
      </c>
      <c r="F27" s="141" t="s">
        <v>21</v>
      </c>
      <c r="G27" s="80" t="s">
        <v>21</v>
      </c>
      <c r="H27" s="80">
        <f t="shared" si="2"/>
        <v>186.23999999999998</v>
      </c>
      <c r="I27" s="450">
        <v>0.73</v>
      </c>
      <c r="J27" s="450">
        <v>185.51</v>
      </c>
      <c r="K27" s="80" t="s">
        <v>21</v>
      </c>
      <c r="L27" s="170"/>
      <c r="N27" s="19"/>
      <c r="O27" s="19"/>
      <c r="P27" s="19"/>
      <c r="Q27" s="140"/>
      <c r="R27" s="140"/>
      <c r="T27"/>
      <c r="U27" s="7"/>
      <c r="V27" s="74"/>
    </row>
    <row r="28" spans="1:22" s="24" customFormat="1" ht="16.5" customHeight="1">
      <c r="A28" s="29"/>
      <c r="B28" s="171"/>
      <c r="C28" s="105" t="s">
        <v>223</v>
      </c>
      <c r="D28" s="80">
        <f t="shared" si="1"/>
        <v>173.01</v>
      </c>
      <c r="E28" s="80">
        <v>155.72</v>
      </c>
      <c r="F28" s="141" t="s">
        <v>21</v>
      </c>
      <c r="G28" s="80" t="s">
        <v>21</v>
      </c>
      <c r="H28" s="80">
        <f t="shared" si="2"/>
        <v>17.29</v>
      </c>
      <c r="I28" s="450">
        <v>1.51</v>
      </c>
      <c r="J28" s="450">
        <v>15.78</v>
      </c>
      <c r="K28" s="80" t="s">
        <v>21</v>
      </c>
      <c r="L28" s="170"/>
      <c r="N28" s="19"/>
      <c r="O28" s="19"/>
      <c r="P28" s="19"/>
      <c r="Q28" s="178"/>
      <c r="R28" s="178"/>
      <c r="T28"/>
      <c r="U28" s="7"/>
      <c r="V28" s="150"/>
    </row>
    <row r="29" spans="1:22" s="24" customFormat="1" ht="16.5" customHeight="1">
      <c r="A29" s="29"/>
      <c r="B29" s="171"/>
      <c r="C29" s="105" t="s">
        <v>224</v>
      </c>
      <c r="D29" s="80">
        <f t="shared" si="1"/>
        <v>504.42999999999995</v>
      </c>
      <c r="E29" s="80">
        <v>89.07</v>
      </c>
      <c r="F29" s="141" t="s">
        <v>21</v>
      </c>
      <c r="G29" s="80" t="s">
        <v>21</v>
      </c>
      <c r="H29" s="80">
        <f t="shared" si="2"/>
        <v>415.35999999999996</v>
      </c>
      <c r="I29" s="450">
        <v>12.78</v>
      </c>
      <c r="J29" s="450">
        <v>402.58</v>
      </c>
      <c r="K29" s="80" t="s">
        <v>21</v>
      </c>
      <c r="L29" s="170"/>
      <c r="N29" s="19"/>
      <c r="O29" s="19"/>
      <c r="P29" s="19"/>
      <c r="Q29" s="178"/>
      <c r="R29" s="178"/>
      <c r="T29"/>
      <c r="U29" s="7"/>
      <c r="V29" s="150"/>
    </row>
    <row r="30" spans="1:22" s="24" customFormat="1" ht="16.5" customHeight="1">
      <c r="A30" s="29"/>
      <c r="B30" s="171"/>
      <c r="C30" s="105" t="s">
        <v>225</v>
      </c>
      <c r="D30" s="80">
        <f t="shared" si="1"/>
        <v>1685.54</v>
      </c>
      <c r="E30" s="80">
        <v>1573.36</v>
      </c>
      <c r="F30" s="141" t="s">
        <v>21</v>
      </c>
      <c r="G30" s="80" t="s">
        <v>21</v>
      </c>
      <c r="H30" s="80">
        <f t="shared" si="2"/>
        <v>112.18</v>
      </c>
      <c r="I30" s="450">
        <v>7.4</v>
      </c>
      <c r="J30" s="450">
        <v>104.78</v>
      </c>
      <c r="K30" s="80" t="s">
        <v>21</v>
      </c>
      <c r="L30" s="170"/>
      <c r="N30" s="19"/>
      <c r="O30" s="19"/>
      <c r="P30" s="19"/>
      <c r="Q30" s="178"/>
      <c r="R30" s="178"/>
      <c r="T30"/>
      <c r="U30" s="7"/>
      <c r="V30" s="150"/>
    </row>
    <row r="31" spans="1:22" s="24" customFormat="1" ht="16.5" customHeight="1">
      <c r="A31" s="29"/>
      <c r="B31" s="171"/>
      <c r="C31" s="105" t="s">
        <v>252</v>
      </c>
      <c r="D31" s="80">
        <f t="shared" si="1"/>
        <v>433.085</v>
      </c>
      <c r="E31" s="80">
        <v>420.2</v>
      </c>
      <c r="F31" s="80" t="s">
        <v>21</v>
      </c>
      <c r="G31" s="80" t="s">
        <v>21</v>
      </c>
      <c r="H31" s="80">
        <f t="shared" si="2"/>
        <v>12.885</v>
      </c>
      <c r="I31" s="450">
        <v>7.46</v>
      </c>
      <c r="J31" s="450">
        <v>5.425</v>
      </c>
      <c r="K31" s="80" t="s">
        <v>21</v>
      </c>
      <c r="L31" s="170"/>
      <c r="N31" s="19"/>
      <c r="O31" s="19"/>
      <c r="P31" s="19"/>
      <c r="Q31" s="178"/>
      <c r="R31" s="178"/>
      <c r="T31" s="7"/>
      <c r="U31" s="7"/>
      <c r="V31" s="100"/>
    </row>
    <row r="32" spans="1:22" s="24" customFormat="1" ht="16.5" customHeight="1">
      <c r="A32" s="29"/>
      <c r="B32" s="171"/>
      <c r="C32" s="105" t="s">
        <v>226</v>
      </c>
      <c r="D32" s="80">
        <f t="shared" si="1"/>
        <v>176.731</v>
      </c>
      <c r="E32" s="80">
        <v>164.26</v>
      </c>
      <c r="F32" s="80" t="s">
        <v>21</v>
      </c>
      <c r="G32" s="80" t="s">
        <v>21</v>
      </c>
      <c r="H32" s="80">
        <f t="shared" si="2"/>
        <v>12.471</v>
      </c>
      <c r="I32" s="450">
        <v>5.471000000000001</v>
      </c>
      <c r="J32" s="450">
        <v>7</v>
      </c>
      <c r="K32" s="80" t="s">
        <v>21</v>
      </c>
      <c r="L32" s="170"/>
      <c r="N32" s="19"/>
      <c r="O32" s="19"/>
      <c r="P32" s="19"/>
      <c r="Q32" s="178"/>
      <c r="R32" s="178"/>
      <c r="T32" s="101"/>
      <c r="U32" s="101"/>
      <c r="V32" s="101"/>
    </row>
    <row r="33" spans="1:22" s="24" customFormat="1" ht="16.5" customHeight="1">
      <c r="A33" s="29"/>
      <c r="B33" s="171"/>
      <c r="C33" s="105" t="s">
        <v>72</v>
      </c>
      <c r="D33" s="80">
        <f t="shared" si="1"/>
        <v>462.50500000000005</v>
      </c>
      <c r="E33" s="80">
        <v>461.16</v>
      </c>
      <c r="F33" s="80" t="s">
        <v>21</v>
      </c>
      <c r="G33" s="80" t="s">
        <v>21</v>
      </c>
      <c r="H33" s="80">
        <f t="shared" si="2"/>
        <v>1.345</v>
      </c>
      <c r="I33" s="450">
        <v>1.17</v>
      </c>
      <c r="J33" s="450">
        <v>0.175</v>
      </c>
      <c r="K33" s="80" t="s">
        <v>21</v>
      </c>
      <c r="L33" s="170"/>
      <c r="N33" s="19"/>
      <c r="O33" s="19"/>
      <c r="P33" s="19"/>
      <c r="Q33" s="178"/>
      <c r="R33" s="178"/>
      <c r="T33" s="101"/>
      <c r="U33" s="101"/>
      <c r="V33" s="101"/>
    </row>
    <row r="34" spans="1:22" s="24" customFormat="1" ht="16.5" customHeight="1">
      <c r="A34" s="29"/>
      <c r="B34" s="171"/>
      <c r="C34" s="105" t="s">
        <v>227</v>
      </c>
      <c r="D34" s="80">
        <f t="shared" si="1"/>
        <v>57.715</v>
      </c>
      <c r="E34" s="80">
        <v>57.42</v>
      </c>
      <c r="F34" s="80" t="s">
        <v>21</v>
      </c>
      <c r="G34" s="80" t="s">
        <v>21</v>
      </c>
      <c r="H34" s="80">
        <f t="shared" si="2"/>
        <v>0.29500000000000004</v>
      </c>
      <c r="I34" s="450">
        <v>0.23</v>
      </c>
      <c r="J34" s="450">
        <v>0.065</v>
      </c>
      <c r="K34" s="80" t="s">
        <v>21</v>
      </c>
      <c r="L34" s="170"/>
      <c r="N34" s="19"/>
      <c r="O34" s="19"/>
      <c r="P34" s="19"/>
      <c r="Q34" s="178"/>
      <c r="R34" s="178"/>
      <c r="T34" s="101"/>
      <c r="U34" s="101"/>
      <c r="V34" s="101"/>
    </row>
    <row r="35" spans="1:22" s="24" customFormat="1" ht="16.5" customHeight="1">
      <c r="A35" s="29"/>
      <c r="B35" s="171"/>
      <c r="C35" s="105" t="s">
        <v>228</v>
      </c>
      <c r="D35" s="80">
        <f t="shared" si="1"/>
        <v>338.6884</v>
      </c>
      <c r="E35" s="80">
        <v>273.57</v>
      </c>
      <c r="F35" s="80" t="s">
        <v>21</v>
      </c>
      <c r="G35" s="80" t="s">
        <v>21</v>
      </c>
      <c r="H35" s="80">
        <f t="shared" si="2"/>
        <v>65.1184</v>
      </c>
      <c r="I35" s="450">
        <v>7.038400000000001</v>
      </c>
      <c r="J35" s="450">
        <v>58.08</v>
      </c>
      <c r="K35" s="80" t="s">
        <v>21</v>
      </c>
      <c r="L35" s="170"/>
      <c r="N35" s="19"/>
      <c r="O35" s="19"/>
      <c r="P35" s="19"/>
      <c r="Q35" s="178"/>
      <c r="R35" s="178"/>
      <c r="T35" s="101"/>
      <c r="U35" s="101"/>
      <c r="V35" s="101"/>
    </row>
    <row r="36" spans="1:22" s="24" customFormat="1" ht="16.5" customHeight="1">
      <c r="A36" s="29"/>
      <c r="B36" s="171"/>
      <c r="C36" s="105" t="s">
        <v>251</v>
      </c>
      <c r="D36" s="80">
        <f t="shared" si="1"/>
        <v>167.965</v>
      </c>
      <c r="E36" s="80">
        <v>164.23</v>
      </c>
      <c r="F36" s="80" t="s">
        <v>21</v>
      </c>
      <c r="G36" s="80" t="s">
        <v>21</v>
      </c>
      <c r="H36" s="80">
        <f t="shared" si="2"/>
        <v>3.735</v>
      </c>
      <c r="I36" s="450">
        <v>1.625</v>
      </c>
      <c r="J36" s="450">
        <v>2.11</v>
      </c>
      <c r="K36" s="80" t="s">
        <v>21</v>
      </c>
      <c r="L36" s="170"/>
      <c r="N36" s="19"/>
      <c r="O36" s="19"/>
      <c r="P36" s="19"/>
      <c r="Q36" s="178"/>
      <c r="R36" s="178"/>
      <c r="T36" s="101"/>
      <c r="U36" s="101"/>
      <c r="V36" s="101"/>
    </row>
    <row r="37" spans="1:18" s="24" customFormat="1" ht="16.5" customHeight="1">
      <c r="A37" s="29"/>
      <c r="B37" s="171"/>
      <c r="C37" s="105" t="s">
        <v>97</v>
      </c>
      <c r="D37" s="80">
        <f t="shared" si="1"/>
        <v>3073.0835</v>
      </c>
      <c r="E37" s="80">
        <v>2245.4</v>
      </c>
      <c r="F37" s="80" t="s">
        <v>21</v>
      </c>
      <c r="G37" s="80" t="s">
        <v>21</v>
      </c>
      <c r="H37" s="80">
        <f>SUM(I37:K37)</f>
        <v>827.6835</v>
      </c>
      <c r="I37" s="449">
        <v>25.1</v>
      </c>
      <c r="J37" s="449">
        <v>802.5835</v>
      </c>
      <c r="K37" s="80" t="s">
        <v>21</v>
      </c>
      <c r="L37" s="170"/>
      <c r="N37" s="19"/>
      <c r="O37" s="19"/>
      <c r="P37" s="19"/>
      <c r="Q37" s="178"/>
      <c r="R37" s="178"/>
    </row>
    <row r="38" spans="2:18" s="24" customFormat="1" ht="16.5" customHeight="1">
      <c r="B38" s="171"/>
      <c r="C38" s="105"/>
      <c r="D38" s="80"/>
      <c r="E38" s="80"/>
      <c r="F38" s="80"/>
      <c r="G38" s="80"/>
      <c r="H38" s="80"/>
      <c r="I38" s="80"/>
      <c r="J38" s="80"/>
      <c r="K38" s="80"/>
      <c r="L38" s="170"/>
      <c r="N38" s="19"/>
      <c r="O38" s="19"/>
      <c r="P38" s="19"/>
      <c r="Q38" s="178"/>
      <c r="R38" s="178"/>
    </row>
    <row r="39" spans="2:18" s="24" customFormat="1" ht="15" customHeight="1">
      <c r="B39" s="160"/>
      <c r="C39" s="161" t="s">
        <v>229</v>
      </c>
      <c r="D39" s="155">
        <f aca="true" t="shared" si="3" ref="D39:K39">SUM(D41:D46)</f>
        <v>1636.203</v>
      </c>
      <c r="E39" s="155">
        <f t="shared" si="3"/>
        <v>1636.203</v>
      </c>
      <c r="F39" s="155">
        <f t="shared" si="3"/>
        <v>0</v>
      </c>
      <c r="G39" s="155">
        <f t="shared" si="3"/>
        <v>0</v>
      </c>
      <c r="H39" s="155">
        <f t="shared" si="3"/>
        <v>0</v>
      </c>
      <c r="I39" s="155">
        <f t="shared" si="3"/>
        <v>0</v>
      </c>
      <c r="J39" s="155">
        <f t="shared" si="3"/>
        <v>0</v>
      </c>
      <c r="K39" s="155">
        <f t="shared" si="3"/>
        <v>0</v>
      </c>
      <c r="L39" s="159"/>
      <c r="N39" s="19"/>
      <c r="O39" s="19"/>
      <c r="P39" s="19"/>
      <c r="Q39" s="178"/>
      <c r="R39" s="178"/>
    </row>
    <row r="40" spans="2:18" s="24" customFormat="1" ht="15" customHeight="1">
      <c r="B40" s="171"/>
      <c r="C40" s="105"/>
      <c r="D40" s="80"/>
      <c r="E40" s="80"/>
      <c r="F40" s="80"/>
      <c r="G40" s="80"/>
      <c r="H40" s="80"/>
      <c r="I40" s="80"/>
      <c r="J40" s="80"/>
      <c r="K40" s="80"/>
      <c r="L40" s="170"/>
      <c r="N40" s="19"/>
      <c r="O40" s="19"/>
      <c r="P40" s="19"/>
      <c r="Q40" s="99"/>
      <c r="R40" s="99"/>
    </row>
    <row r="41" spans="1:18" s="24" customFormat="1" ht="16.5" customHeight="1">
      <c r="A41" s="29"/>
      <c r="B41" s="171"/>
      <c r="C41" s="105" t="s">
        <v>250</v>
      </c>
      <c r="D41" s="141">
        <f aca="true" t="shared" si="4" ref="D41:D46">SUM(E41,F41,H41)</f>
        <v>1141.38</v>
      </c>
      <c r="E41" s="217">
        <v>1141.38</v>
      </c>
      <c r="F41" s="141" t="s">
        <v>21</v>
      </c>
      <c r="G41" s="80" t="s">
        <v>21</v>
      </c>
      <c r="H41" s="80">
        <f aca="true" t="shared" si="5" ref="H41:H46">SUM(I41:K41)</f>
        <v>0</v>
      </c>
      <c r="I41" s="80"/>
      <c r="J41" s="80"/>
      <c r="K41" s="80"/>
      <c r="L41" s="170"/>
      <c r="N41" s="441"/>
      <c r="Q41" s="101"/>
      <c r="R41" s="101"/>
    </row>
    <row r="42" spans="1:18" s="24" customFormat="1" ht="16.5" customHeight="1">
      <c r="A42" s="29"/>
      <c r="B42" s="171"/>
      <c r="C42" s="105" t="s">
        <v>230</v>
      </c>
      <c r="D42" s="80">
        <f t="shared" si="4"/>
        <v>93.45</v>
      </c>
      <c r="E42" s="449">
        <v>93.45</v>
      </c>
      <c r="F42" s="80" t="s">
        <v>21</v>
      </c>
      <c r="G42" s="80" t="s">
        <v>21</v>
      </c>
      <c r="H42" s="80">
        <f t="shared" si="5"/>
        <v>0</v>
      </c>
      <c r="I42" s="80"/>
      <c r="J42" s="80"/>
      <c r="K42" s="80"/>
      <c r="L42" s="170"/>
      <c r="N42" s="19"/>
      <c r="Q42" s="101"/>
      <c r="R42" s="101"/>
    </row>
    <row r="43" spans="1:18" s="24" customFormat="1" ht="16.5" customHeight="1">
      <c r="A43" s="29"/>
      <c r="B43" s="171"/>
      <c r="C43" s="105" t="s">
        <v>231</v>
      </c>
      <c r="D43" s="80">
        <f t="shared" si="4"/>
        <v>57.85</v>
      </c>
      <c r="E43" s="449">
        <v>57.85</v>
      </c>
      <c r="F43" s="80" t="s">
        <v>21</v>
      </c>
      <c r="G43" s="80" t="s">
        <v>21</v>
      </c>
      <c r="H43" s="80">
        <f t="shared" si="5"/>
        <v>0</v>
      </c>
      <c r="I43" s="80"/>
      <c r="J43" s="80"/>
      <c r="K43" s="80"/>
      <c r="L43" s="170"/>
      <c r="N43" s="19"/>
      <c r="O43" s="175"/>
      <c r="P43" s="175"/>
      <c r="Q43" s="99"/>
      <c r="R43" s="101"/>
    </row>
    <row r="44" spans="1:18" s="24" customFormat="1" ht="16.5" customHeight="1">
      <c r="A44" s="29"/>
      <c r="B44" s="171"/>
      <c r="C44" s="105" t="s">
        <v>91</v>
      </c>
      <c r="D44" s="80">
        <f t="shared" si="4"/>
        <v>186.24</v>
      </c>
      <c r="E44" s="450">
        <v>186.24</v>
      </c>
      <c r="F44" s="80" t="s">
        <v>21</v>
      </c>
      <c r="G44" s="80" t="s">
        <v>21</v>
      </c>
      <c r="H44" s="80">
        <f t="shared" si="5"/>
        <v>0</v>
      </c>
      <c r="I44" s="80"/>
      <c r="J44" s="80"/>
      <c r="K44" s="80"/>
      <c r="L44" s="170"/>
      <c r="N44" s="19"/>
      <c r="Q44" s="99"/>
      <c r="R44" s="101"/>
    </row>
    <row r="45" spans="1:18" s="24" customFormat="1" ht="16.5" customHeight="1">
      <c r="A45" s="29"/>
      <c r="B45" s="171"/>
      <c r="C45" s="105" t="s">
        <v>232</v>
      </c>
      <c r="D45" s="80">
        <f t="shared" si="4"/>
        <v>145.39</v>
      </c>
      <c r="E45" s="449">
        <v>145.39</v>
      </c>
      <c r="F45" s="80" t="s">
        <v>21</v>
      </c>
      <c r="G45" s="80" t="s">
        <v>21</v>
      </c>
      <c r="H45" s="80">
        <f t="shared" si="5"/>
        <v>0</v>
      </c>
      <c r="I45" s="80"/>
      <c r="J45" s="80"/>
      <c r="K45" s="80"/>
      <c r="L45" s="170"/>
      <c r="N45" s="19"/>
      <c r="O45" s="175"/>
      <c r="P45" s="175"/>
      <c r="Q45" s="176"/>
      <c r="R45" s="100"/>
    </row>
    <row r="46" spans="1:18" s="24" customFormat="1" ht="16.5" customHeight="1">
      <c r="A46" s="29"/>
      <c r="B46" s="171"/>
      <c r="C46" s="105" t="s">
        <v>97</v>
      </c>
      <c r="D46" s="80">
        <f t="shared" si="4"/>
        <v>11.893</v>
      </c>
      <c r="E46" s="449">
        <v>11.893</v>
      </c>
      <c r="F46" s="80" t="s">
        <v>21</v>
      </c>
      <c r="G46" s="80" t="s">
        <v>21</v>
      </c>
      <c r="H46" s="80">
        <f t="shared" si="5"/>
        <v>0</v>
      </c>
      <c r="I46" s="80"/>
      <c r="J46" s="80"/>
      <c r="K46" s="80"/>
      <c r="L46" s="170"/>
      <c r="N46" s="19"/>
      <c r="Q46" s="176"/>
      <c r="R46" s="100"/>
    </row>
    <row r="47" spans="1:18" s="24" customFormat="1" ht="15" customHeight="1">
      <c r="A47" s="23"/>
      <c r="B47" s="171"/>
      <c r="C47" s="105"/>
      <c r="D47" s="80"/>
      <c r="E47" s="80"/>
      <c r="F47" s="80"/>
      <c r="G47" s="80"/>
      <c r="H47" s="80"/>
      <c r="I47" s="80"/>
      <c r="J47" s="80"/>
      <c r="K47" s="80"/>
      <c r="L47" s="170"/>
      <c r="N47" s="19"/>
      <c r="Q47" s="176"/>
      <c r="R47" s="100"/>
    </row>
    <row r="48" spans="1:18" s="24" customFormat="1" ht="15" customHeight="1">
      <c r="A48" s="23"/>
      <c r="B48" s="160"/>
      <c r="C48" s="161" t="s">
        <v>233</v>
      </c>
      <c r="D48" s="155">
        <f aca="true" t="shared" si="6" ref="D48:K48">SUM(D50:D60)</f>
        <v>70164.11103</v>
      </c>
      <c r="E48" s="155">
        <f t="shared" si="6"/>
        <v>64096.41403000001</v>
      </c>
      <c r="F48" s="155">
        <f t="shared" si="6"/>
        <v>6067.5855</v>
      </c>
      <c r="G48" s="155">
        <f t="shared" si="6"/>
        <v>0</v>
      </c>
      <c r="H48" s="155">
        <f t="shared" si="6"/>
        <v>0.1115</v>
      </c>
      <c r="I48" s="155">
        <f t="shared" si="6"/>
        <v>0</v>
      </c>
      <c r="J48" s="155">
        <f t="shared" si="6"/>
        <v>0</v>
      </c>
      <c r="K48" s="155">
        <f t="shared" si="6"/>
        <v>0.1115</v>
      </c>
      <c r="L48" s="159"/>
      <c r="N48" s="19"/>
      <c r="Q48" s="176"/>
      <c r="R48" s="100"/>
    </row>
    <row r="49" spans="1:18" s="24" customFormat="1" ht="15" customHeight="1">
      <c r="A49" s="23"/>
      <c r="B49" s="171"/>
      <c r="C49" s="105"/>
      <c r="D49" s="80"/>
      <c r="E49" s="80"/>
      <c r="F49" s="80"/>
      <c r="G49" s="80"/>
      <c r="H49" s="80"/>
      <c r="I49" s="80"/>
      <c r="J49" s="80"/>
      <c r="K49" s="80"/>
      <c r="L49" s="170"/>
      <c r="N49" s="19"/>
      <c r="Q49" s="176"/>
      <c r="R49" s="100"/>
    </row>
    <row r="50" spans="1:14" s="24" customFormat="1" ht="16.5" customHeight="1">
      <c r="A50" s="29"/>
      <c r="B50" s="171"/>
      <c r="C50" s="105" t="s">
        <v>211</v>
      </c>
      <c r="D50" s="80">
        <f aca="true" t="shared" si="7" ref="D50:D60">SUM(E50,F50,H50)</f>
        <v>29.04</v>
      </c>
      <c r="E50" s="451">
        <v>29.04</v>
      </c>
      <c r="F50" s="450" t="s">
        <v>21</v>
      </c>
      <c r="G50" s="450" t="s">
        <v>21</v>
      </c>
      <c r="H50" s="80">
        <f aca="true" t="shared" si="8" ref="H50:H60">SUM(I50:K50)</f>
        <v>0</v>
      </c>
      <c r="I50" s="80" t="s">
        <v>21</v>
      </c>
      <c r="J50" s="450" t="s">
        <v>21</v>
      </c>
      <c r="K50" s="80" t="s">
        <v>21</v>
      </c>
      <c r="L50" s="170"/>
      <c r="M50" s="13"/>
      <c r="N50" s="19"/>
    </row>
    <row r="51" spans="1:17" s="24" customFormat="1" ht="16.5" customHeight="1">
      <c r="A51" s="29"/>
      <c r="B51" s="171"/>
      <c r="C51" s="105" t="s">
        <v>246</v>
      </c>
      <c r="D51" s="80">
        <f t="shared" si="7"/>
        <v>28.69</v>
      </c>
      <c r="E51" s="450">
        <v>28.69</v>
      </c>
      <c r="F51" s="450" t="s">
        <v>21</v>
      </c>
      <c r="G51" s="450" t="s">
        <v>21</v>
      </c>
      <c r="H51" s="80">
        <f t="shared" si="8"/>
        <v>0</v>
      </c>
      <c r="I51" s="80" t="s">
        <v>21</v>
      </c>
      <c r="J51" s="450" t="s">
        <v>21</v>
      </c>
      <c r="K51" s="80" t="s">
        <v>21</v>
      </c>
      <c r="L51" s="170"/>
      <c r="N51" s="19"/>
      <c r="Q51" s="19"/>
    </row>
    <row r="52" spans="1:17" s="24" customFormat="1" ht="16.5" customHeight="1">
      <c r="A52" s="29"/>
      <c r="B52" s="171"/>
      <c r="C52" s="105" t="s">
        <v>234</v>
      </c>
      <c r="D52" s="80">
        <f t="shared" si="7"/>
        <v>3.94</v>
      </c>
      <c r="E52" s="450">
        <v>3.94</v>
      </c>
      <c r="F52" s="450" t="s">
        <v>21</v>
      </c>
      <c r="G52" s="450" t="s">
        <v>21</v>
      </c>
      <c r="H52" s="80">
        <f t="shared" si="8"/>
        <v>0</v>
      </c>
      <c r="I52" s="80" t="s">
        <v>21</v>
      </c>
      <c r="J52" s="450" t="s">
        <v>21</v>
      </c>
      <c r="K52" s="80" t="s">
        <v>21</v>
      </c>
      <c r="L52" s="170"/>
      <c r="Q52" s="19"/>
    </row>
    <row r="53" spans="1:14" s="24" customFormat="1" ht="16.5" customHeight="1">
      <c r="A53" s="29"/>
      <c r="B53" s="171"/>
      <c r="C53" s="105" t="s">
        <v>218</v>
      </c>
      <c r="D53" s="80">
        <f t="shared" si="7"/>
        <v>952.32</v>
      </c>
      <c r="E53" s="450">
        <v>952.32</v>
      </c>
      <c r="F53" s="450" t="s">
        <v>21</v>
      </c>
      <c r="G53" s="450" t="s">
        <v>21</v>
      </c>
      <c r="H53" s="80">
        <f t="shared" si="8"/>
        <v>0</v>
      </c>
      <c r="I53" s="80" t="s">
        <v>21</v>
      </c>
      <c r="J53" s="450" t="s">
        <v>21</v>
      </c>
      <c r="K53" s="80" t="s">
        <v>21</v>
      </c>
      <c r="L53" s="170"/>
      <c r="M53" s="13"/>
      <c r="N53" s="19"/>
    </row>
    <row r="54" spans="1:14" s="24" customFormat="1" ht="16.5" customHeight="1">
      <c r="A54" s="29"/>
      <c r="B54" s="171"/>
      <c r="C54" s="105" t="s">
        <v>223</v>
      </c>
      <c r="D54" s="80">
        <f t="shared" si="7"/>
        <v>2184.21</v>
      </c>
      <c r="E54" s="450">
        <v>2184.21</v>
      </c>
      <c r="F54" s="450" t="s">
        <v>21</v>
      </c>
      <c r="G54" s="450" t="s">
        <v>21</v>
      </c>
      <c r="H54" s="80">
        <f t="shared" si="8"/>
        <v>0</v>
      </c>
      <c r="I54" s="80" t="s">
        <v>21</v>
      </c>
      <c r="J54" s="450" t="s">
        <v>21</v>
      </c>
      <c r="K54" s="80" t="s">
        <v>21</v>
      </c>
      <c r="L54" s="170"/>
      <c r="M54" s="220"/>
      <c r="N54" s="19"/>
    </row>
    <row r="55" spans="1:19" s="24" customFormat="1" ht="16.5" customHeight="1">
      <c r="A55" s="29"/>
      <c r="B55" s="171"/>
      <c r="C55" s="105" t="s">
        <v>255</v>
      </c>
      <c r="D55" s="80">
        <f t="shared" si="7"/>
        <v>14.32</v>
      </c>
      <c r="E55" s="450">
        <v>14.32</v>
      </c>
      <c r="F55" s="450" t="s">
        <v>21</v>
      </c>
      <c r="G55" s="450" t="s">
        <v>21</v>
      </c>
      <c r="H55" s="80">
        <f t="shared" si="8"/>
        <v>0</v>
      </c>
      <c r="I55" s="80" t="s">
        <v>21</v>
      </c>
      <c r="J55" s="450" t="s">
        <v>21</v>
      </c>
      <c r="K55" s="80" t="s">
        <v>21</v>
      </c>
      <c r="L55" s="170"/>
      <c r="Q55" s="257"/>
      <c r="R55" s="7"/>
      <c r="S55" s="7"/>
    </row>
    <row r="56" spans="1:19" s="24" customFormat="1" ht="16.5" customHeight="1">
      <c r="A56" s="29"/>
      <c r="B56" s="171"/>
      <c r="C56" s="105" t="s">
        <v>224</v>
      </c>
      <c r="D56" s="80">
        <f t="shared" si="7"/>
        <v>294.73699999999997</v>
      </c>
      <c r="E56" s="450">
        <v>170.26</v>
      </c>
      <c r="F56" s="450">
        <v>124.3655</v>
      </c>
      <c r="G56" s="450" t="s">
        <v>21</v>
      </c>
      <c r="H56" s="80">
        <f t="shared" si="8"/>
        <v>0.1115</v>
      </c>
      <c r="I56" s="80" t="s">
        <v>21</v>
      </c>
      <c r="J56" s="450" t="s">
        <v>21</v>
      </c>
      <c r="K56" s="80">
        <v>0.1115</v>
      </c>
      <c r="L56" s="170"/>
      <c r="N56" s="19"/>
      <c r="Q56" s="257"/>
      <c r="R56" s="7"/>
      <c r="S56" s="7"/>
    </row>
    <row r="57" spans="1:20" s="24" customFormat="1" ht="16.5" customHeight="1">
      <c r="A57" s="29"/>
      <c r="B57" s="171"/>
      <c r="C57" s="105" t="s">
        <v>226</v>
      </c>
      <c r="D57" s="80">
        <f t="shared" si="7"/>
        <v>113.07</v>
      </c>
      <c r="E57" s="450">
        <v>113.07</v>
      </c>
      <c r="F57" s="450" t="s">
        <v>21</v>
      </c>
      <c r="G57" s="450" t="s">
        <v>21</v>
      </c>
      <c r="H57" s="80">
        <f t="shared" si="8"/>
        <v>0</v>
      </c>
      <c r="I57" s="80" t="s">
        <v>21</v>
      </c>
      <c r="J57" s="450" t="s">
        <v>21</v>
      </c>
      <c r="K57" s="80" t="s">
        <v>21</v>
      </c>
      <c r="L57" s="170"/>
      <c r="N57" s="19"/>
      <c r="O57" s="514"/>
      <c r="P57" s="514"/>
      <c r="Q57" s="515"/>
      <c r="R57" s="516"/>
      <c r="S57" s="516"/>
      <c r="T57" s="514"/>
    </row>
    <row r="58" spans="1:20" s="24" customFormat="1" ht="16.5" customHeight="1">
      <c r="A58" s="29"/>
      <c r="B58" s="171"/>
      <c r="C58" s="105" t="s">
        <v>235</v>
      </c>
      <c r="D58" s="80">
        <f t="shared" si="7"/>
        <v>2164.47403</v>
      </c>
      <c r="E58" s="450">
        <v>2164.47403</v>
      </c>
      <c r="F58" s="450" t="s">
        <v>21</v>
      </c>
      <c r="G58" s="450" t="s">
        <v>21</v>
      </c>
      <c r="H58" s="80">
        <f t="shared" si="8"/>
        <v>0</v>
      </c>
      <c r="I58" s="80" t="s">
        <v>21</v>
      </c>
      <c r="J58" s="450" t="s">
        <v>21</v>
      </c>
      <c r="K58" s="80" t="s">
        <v>21</v>
      </c>
      <c r="L58" s="170"/>
      <c r="N58" s="19"/>
      <c r="O58" s="514"/>
      <c r="P58" s="514"/>
      <c r="Q58" s="515"/>
      <c r="R58" s="516"/>
      <c r="S58" s="516"/>
      <c r="T58" s="514"/>
    </row>
    <row r="59" spans="1:20" s="24" customFormat="1" ht="16.5" customHeight="1">
      <c r="A59" s="29"/>
      <c r="B59" s="171"/>
      <c r="C59" s="105" t="s">
        <v>232</v>
      </c>
      <c r="D59" s="80">
        <f t="shared" si="7"/>
        <v>64372.380000000005</v>
      </c>
      <c r="E59" s="450">
        <v>58429.16</v>
      </c>
      <c r="F59" s="450">
        <v>5943.22</v>
      </c>
      <c r="G59" s="450" t="s">
        <v>21</v>
      </c>
      <c r="H59" s="80">
        <f t="shared" si="8"/>
        <v>0</v>
      </c>
      <c r="I59" s="80" t="s">
        <v>21</v>
      </c>
      <c r="J59" s="450" t="s">
        <v>21</v>
      </c>
      <c r="K59" s="80" t="s">
        <v>21</v>
      </c>
      <c r="L59" s="170"/>
      <c r="N59" s="19"/>
      <c r="O59" s="514"/>
      <c r="P59" s="514"/>
      <c r="Q59" s="515"/>
      <c r="R59" s="516"/>
      <c r="S59" s="516"/>
      <c r="T59" s="514"/>
    </row>
    <row r="60" spans="1:20" s="24" customFormat="1" ht="16.5" customHeight="1">
      <c r="A60" s="29"/>
      <c r="B60" s="171"/>
      <c r="C60" s="105" t="s">
        <v>97</v>
      </c>
      <c r="D60" s="80">
        <f t="shared" si="7"/>
        <v>6.93</v>
      </c>
      <c r="E60" s="450">
        <v>6.93</v>
      </c>
      <c r="F60" s="450" t="s">
        <v>21</v>
      </c>
      <c r="G60" s="450" t="s">
        <v>21</v>
      </c>
      <c r="H60" s="80">
        <f t="shared" si="8"/>
        <v>0</v>
      </c>
      <c r="I60" s="80" t="s">
        <v>21</v>
      </c>
      <c r="J60" s="450" t="s">
        <v>21</v>
      </c>
      <c r="K60" s="80" t="s">
        <v>21</v>
      </c>
      <c r="L60" s="170"/>
      <c r="M60" s="24" t="s">
        <v>138</v>
      </c>
      <c r="N60" s="19"/>
      <c r="O60" s="514"/>
      <c r="P60" s="514"/>
      <c r="Q60" s="517"/>
      <c r="R60" s="518"/>
      <c r="S60" s="518"/>
      <c r="T60" s="514"/>
    </row>
    <row r="61" spans="1:20" s="24" customFormat="1" ht="16.5" customHeight="1">
      <c r="A61" s="23"/>
      <c r="B61" s="169"/>
      <c r="C61" s="168"/>
      <c r="D61" s="167"/>
      <c r="E61" s="167"/>
      <c r="F61" s="167"/>
      <c r="G61" s="167"/>
      <c r="H61" s="167"/>
      <c r="I61" s="167"/>
      <c r="J61" s="167"/>
      <c r="K61" s="167"/>
      <c r="L61" s="166"/>
      <c r="N61" s="19"/>
      <c r="O61" s="514"/>
      <c r="P61" s="514"/>
      <c r="Q61" s="514"/>
      <c r="R61" s="514"/>
      <c r="S61" s="514"/>
      <c r="T61" s="514"/>
    </row>
    <row r="62" spans="2:20" s="24" customFormat="1" ht="2.25" customHeight="1"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1"/>
      <c r="O62" s="514"/>
      <c r="P62" s="514"/>
      <c r="Q62" s="514"/>
      <c r="R62" s="514"/>
      <c r="S62" s="514"/>
      <c r="T62" s="514"/>
    </row>
    <row r="63" spans="3:20" s="74" customFormat="1" ht="13.5" customHeight="1">
      <c r="C63" s="44" t="s">
        <v>304</v>
      </c>
      <c r="D63" s="165"/>
      <c r="E63" s="165"/>
      <c r="F63" s="165"/>
      <c r="G63" s="165"/>
      <c r="H63" s="165"/>
      <c r="I63" s="165"/>
      <c r="J63" s="165"/>
      <c r="K63" s="165"/>
      <c r="L63" s="164"/>
      <c r="O63" s="519"/>
      <c r="P63" s="519"/>
      <c r="Q63" s="519"/>
      <c r="R63" s="519"/>
      <c r="S63" s="519"/>
      <c r="T63" s="519"/>
    </row>
    <row r="64" spans="1:20" s="175" customFormat="1" ht="15.75" customHeight="1">
      <c r="A64" s="177"/>
      <c r="B64" s="44" t="s">
        <v>238</v>
      </c>
      <c r="C64" s="345"/>
      <c r="D64" s="346"/>
      <c r="E64" s="346"/>
      <c r="F64" s="346"/>
      <c r="G64" s="346"/>
      <c r="H64" s="346"/>
      <c r="I64" s="346"/>
      <c r="J64" s="346"/>
      <c r="K64" s="346"/>
      <c r="L64" s="345"/>
      <c r="O64" s="520"/>
      <c r="P64" s="514"/>
      <c r="Q64" s="514"/>
      <c r="R64" s="514"/>
      <c r="S64" s="514"/>
      <c r="T64" s="514"/>
    </row>
    <row r="65" spans="1:20" s="298" customFormat="1" ht="6.75" customHeight="1">
      <c r="A65" s="101"/>
      <c r="B65" s="296"/>
      <c r="C65" s="296"/>
      <c r="D65" s="297"/>
      <c r="E65" s="297"/>
      <c r="F65" s="297"/>
      <c r="G65" s="297"/>
      <c r="H65" s="297"/>
      <c r="I65" s="297"/>
      <c r="J65" s="297"/>
      <c r="K65" s="297"/>
      <c r="L65" s="296"/>
      <c r="O65" s="514"/>
      <c r="P65" s="514"/>
      <c r="Q65" s="514"/>
      <c r="R65" s="514"/>
      <c r="S65" s="514"/>
      <c r="T65" s="514"/>
    </row>
    <row r="66" spans="1:13" s="298" customFormat="1" ht="6.75" customHeight="1">
      <c r="A66" s="101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1:13" s="100" customFormat="1" ht="12.75">
      <c r="A67" s="101"/>
      <c r="B67" s="101"/>
      <c r="C67" s="101" t="s">
        <v>260</v>
      </c>
      <c r="D67" s="101">
        <f>+D48</f>
        <v>70164.11103</v>
      </c>
      <c r="E67" s="299">
        <f>+D67/$D$70</f>
        <v>0.7813788999222886</v>
      </c>
      <c r="F67" s="101">
        <v>72.68053817840789</v>
      </c>
      <c r="G67" s="101"/>
      <c r="H67" s="101">
        <v>24.5</v>
      </c>
      <c r="I67" s="101"/>
      <c r="J67" s="101"/>
      <c r="K67" s="101"/>
      <c r="L67" s="101"/>
      <c r="M67" s="101"/>
    </row>
    <row r="68" spans="3:8" s="101" customFormat="1" ht="12.75">
      <c r="C68" s="101" t="s">
        <v>73</v>
      </c>
      <c r="D68" s="101">
        <f>+D39</f>
        <v>1636.203</v>
      </c>
      <c r="E68" s="299">
        <f>+D68/$D$70</f>
        <v>0.01822148790060069</v>
      </c>
      <c r="F68" s="101">
        <v>1.4613212100136594</v>
      </c>
      <c r="H68" s="101">
        <v>4.85</v>
      </c>
    </row>
    <row r="69" spans="3:8" s="101" customFormat="1" ht="12.75">
      <c r="C69" s="101" t="s">
        <v>261</v>
      </c>
      <c r="D69" s="101">
        <f>+D12</f>
        <v>17994.9326</v>
      </c>
      <c r="E69" s="299">
        <f>+D69/$D$70</f>
        <v>0.2003996121771106</v>
      </c>
      <c r="F69" s="101">
        <v>25.858140611578463</v>
      </c>
      <c r="H69" s="101">
        <v>70.65</v>
      </c>
    </row>
    <row r="70" spans="4:8" s="101" customFormat="1" ht="12.75">
      <c r="D70" s="101">
        <f>+D10</f>
        <v>89795.24663000001</v>
      </c>
      <c r="H70" s="101">
        <v>100</v>
      </c>
    </row>
    <row r="71" s="101" customFormat="1" ht="12.75"/>
    <row r="72" s="101" customFormat="1" ht="12.75"/>
    <row r="73" spans="3:5" s="101" customFormat="1" ht="12.75">
      <c r="C73" s="101" t="s">
        <v>211</v>
      </c>
      <c r="D73" s="101">
        <f>+D50+D16</f>
        <v>4415.41</v>
      </c>
      <c r="E73" s="299">
        <f>+D73/$D$77</f>
        <v>0.04917197920501997</v>
      </c>
    </row>
    <row r="74" spans="3:5" s="101" customFormat="1" ht="12.75">
      <c r="C74" s="101" t="s">
        <v>232</v>
      </c>
      <c r="D74" s="101">
        <f>+D59+D45</f>
        <v>64517.770000000004</v>
      </c>
      <c r="E74" s="299">
        <f>+D74/$D$77</f>
        <v>0.7184987226088316</v>
      </c>
    </row>
    <row r="75" spans="3:5" s="101" customFormat="1" ht="12.75">
      <c r="C75" s="101" t="s">
        <v>235</v>
      </c>
      <c r="D75" s="101">
        <f>+D58</f>
        <v>2164.47403</v>
      </c>
      <c r="E75" s="299">
        <f>+D75/$D$77</f>
        <v>0.024104550198728036</v>
      </c>
    </row>
    <row r="76" spans="1:5" s="101" customFormat="1" ht="12.75">
      <c r="A76" s="100"/>
      <c r="C76" s="101" t="s">
        <v>97</v>
      </c>
      <c r="D76" s="101">
        <f>+D10-SUM(D73:D75)</f>
        <v>18697.592600000004</v>
      </c>
      <c r="E76" s="299">
        <f>+D76/$D$77</f>
        <v>0.2082247479874203</v>
      </c>
    </row>
    <row r="77" spans="1:13" s="101" customFormat="1" ht="12.75">
      <c r="A77" s="100"/>
      <c r="B77" s="100"/>
      <c r="C77" s="100"/>
      <c r="D77" s="101">
        <f>SUM(D73:D76)</f>
        <v>89795.24663000001</v>
      </c>
      <c r="E77" s="100"/>
      <c r="F77" s="100"/>
      <c r="G77" s="100"/>
      <c r="H77" s="100"/>
      <c r="I77" s="100"/>
      <c r="J77" s="100"/>
      <c r="K77" s="100"/>
      <c r="L77" s="100"/>
      <c r="M77" s="100"/>
    </row>
    <row r="78" s="100" customFormat="1" ht="12.75"/>
    <row r="79" s="100" customFormat="1" ht="12.75"/>
    <row r="80" s="100" customFormat="1" ht="12.75"/>
    <row r="81" s="28" customFormat="1" ht="12.75"/>
    <row r="82" s="28" customFormat="1" ht="12.75"/>
    <row r="83" s="28" customFormat="1" ht="12.75"/>
    <row r="84" s="28" customFormat="1" ht="12.75"/>
    <row r="85" spans="3:7" ht="12.75">
      <c r="C85" s="458" t="s">
        <v>238</v>
      </c>
      <c r="G85" s="458" t="s">
        <v>238</v>
      </c>
    </row>
  </sheetData>
  <sheetProtection/>
  <mergeCells count="11">
    <mergeCell ref="B10:C10"/>
    <mergeCell ref="E7:E8"/>
    <mergeCell ref="B6:C8"/>
    <mergeCell ref="F7:F8"/>
    <mergeCell ref="G7:G8"/>
    <mergeCell ref="H7:L7"/>
    <mergeCell ref="K8:L8"/>
    <mergeCell ref="E6:L6"/>
    <mergeCell ref="B2:L2"/>
    <mergeCell ref="B3:L3"/>
    <mergeCell ref="B4:L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2"/>
  <sheetViews>
    <sheetView showGridLines="0" tabSelected="1" zoomScale="80" zoomScaleNormal="80" zoomScaleSheetLayoutView="77" zoomScalePageLayoutView="0" workbookViewId="0" topLeftCell="A1">
      <selection activeCell="S32" sqref="S32"/>
    </sheetView>
  </sheetViews>
  <sheetFormatPr defaultColWidth="9.140625" defaultRowHeight="12.75"/>
  <cols>
    <col min="1" max="1" width="3.57421875" style="1" customWidth="1"/>
    <col min="2" max="2" width="0.9921875" style="1" customWidth="1"/>
    <col min="3" max="3" width="5.28125" style="1" customWidth="1"/>
    <col min="4" max="4" width="26.7109375" style="1" customWidth="1"/>
    <col min="5" max="5" width="15.421875" style="354" customWidth="1"/>
    <col min="6" max="6" width="15.7109375" style="7" customWidth="1"/>
    <col min="7" max="7" width="16.00390625" style="7" customWidth="1"/>
    <col min="8" max="8" width="15.57421875" style="7" customWidth="1"/>
    <col min="9" max="9" width="14.8515625" style="354" customWidth="1"/>
    <col min="10" max="10" width="15.28125" style="7" customWidth="1"/>
    <col min="11" max="11" width="18.8515625" style="7" customWidth="1"/>
    <col min="12" max="12" width="14.28125" style="7" customWidth="1"/>
    <col min="13" max="13" width="0.85546875" style="1" customWidth="1"/>
    <col min="14" max="14" width="9.140625" style="218" customWidth="1"/>
    <col min="15" max="15" width="20.7109375" style="218" customWidth="1"/>
    <col min="16" max="16" width="9.140625" style="218" customWidth="1"/>
    <col min="17" max="17" width="9.140625" style="1" customWidth="1"/>
    <col min="18" max="18" width="18.28125" style="1" customWidth="1"/>
    <col min="19" max="16384" width="9.140625" style="1" customWidth="1"/>
  </cols>
  <sheetData>
    <row r="2" spans="2:16" s="2" customFormat="1" ht="34.5" customHeight="1">
      <c r="B2" s="504" t="s">
        <v>291</v>
      </c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221"/>
      <c r="O2" s="221"/>
      <c r="P2" s="221"/>
    </row>
    <row r="3" spans="2:16" s="2" customFormat="1" ht="16.5"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221"/>
      <c r="O3" s="221"/>
      <c r="P3" s="221"/>
    </row>
    <row r="4" spans="2:16" s="2" customFormat="1" ht="16.5">
      <c r="B4" s="465" t="s">
        <v>145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221"/>
      <c r="O4" s="221"/>
      <c r="P4" s="221"/>
    </row>
    <row r="5" spans="5:16" s="2" customFormat="1" ht="15.75" customHeight="1">
      <c r="E5" s="348"/>
      <c r="F5" s="6"/>
      <c r="G5" s="6"/>
      <c r="H5" s="6"/>
      <c r="I5" s="348"/>
      <c r="J5" s="6"/>
      <c r="K5" s="6"/>
      <c r="L5" s="6"/>
      <c r="N5" s="221"/>
      <c r="O5" s="221"/>
      <c r="P5" s="221"/>
    </row>
    <row r="6" spans="2:16" s="2" customFormat="1" ht="25.5" customHeight="1">
      <c r="B6" s="521" t="s">
        <v>264</v>
      </c>
      <c r="C6" s="521"/>
      <c r="D6" s="521"/>
      <c r="E6" s="522" t="s">
        <v>1</v>
      </c>
      <c r="F6" s="523" t="s">
        <v>142</v>
      </c>
      <c r="G6" s="524"/>
      <c r="H6" s="524"/>
      <c r="I6" s="524"/>
      <c r="J6" s="524"/>
      <c r="K6" s="524"/>
      <c r="L6" s="524"/>
      <c r="M6" s="525"/>
      <c r="N6" s="221"/>
      <c r="O6" s="221"/>
      <c r="P6" s="221"/>
    </row>
    <row r="7" spans="2:16" s="2" customFormat="1" ht="21.75" customHeight="1">
      <c r="B7" s="521"/>
      <c r="C7" s="521"/>
      <c r="D7" s="521"/>
      <c r="E7" s="522"/>
      <c r="F7" s="526" t="s">
        <v>152</v>
      </c>
      <c r="G7" s="526" t="s">
        <v>151</v>
      </c>
      <c r="H7" s="527" t="s">
        <v>150</v>
      </c>
      <c r="I7" s="523" t="s">
        <v>157</v>
      </c>
      <c r="J7" s="524"/>
      <c r="K7" s="524"/>
      <c r="L7" s="524"/>
      <c r="M7" s="525"/>
      <c r="N7" s="221"/>
      <c r="O7" s="222"/>
      <c r="P7" s="221"/>
    </row>
    <row r="8" spans="2:16" s="10" customFormat="1" ht="21.75" customHeight="1">
      <c r="B8" s="521"/>
      <c r="C8" s="521"/>
      <c r="D8" s="521"/>
      <c r="E8" s="522"/>
      <c r="F8" s="526"/>
      <c r="G8" s="526"/>
      <c r="H8" s="528"/>
      <c r="I8" s="529" t="s">
        <v>1</v>
      </c>
      <c r="J8" s="530" t="s">
        <v>171</v>
      </c>
      <c r="K8" s="530" t="s">
        <v>172</v>
      </c>
      <c r="L8" s="531" t="s">
        <v>173</v>
      </c>
      <c r="M8" s="532"/>
      <c r="N8" s="223"/>
      <c r="O8" s="224"/>
      <c r="P8" s="223"/>
    </row>
    <row r="9" spans="2:16" s="11" customFormat="1" ht="9.75" customHeight="1">
      <c r="B9" s="533"/>
      <c r="C9" s="534"/>
      <c r="D9" s="534"/>
      <c r="E9" s="535"/>
      <c r="F9" s="536"/>
      <c r="G9" s="536"/>
      <c r="H9" s="536"/>
      <c r="I9" s="535"/>
      <c r="J9" s="536"/>
      <c r="K9" s="536"/>
      <c r="L9" s="536"/>
      <c r="M9" s="537"/>
      <c r="N9" s="15"/>
      <c r="P9" s="15"/>
    </row>
    <row r="10" spans="2:16" s="11" customFormat="1" ht="15">
      <c r="B10" s="538" t="s">
        <v>1</v>
      </c>
      <c r="C10" s="539"/>
      <c r="D10" s="539"/>
      <c r="E10" s="540">
        <f>+E12+E27+E35+E36+E37+E38+E39+E40+E41+E42+E43+E44+E45+E46+E47+E48+E49+E50+E51+E52+E53+E54+E55+E56</f>
        <v>89795.22381736946</v>
      </c>
      <c r="F10" s="540">
        <f aca="true" t="shared" si="0" ref="F10:K10">SUM(F12,F27,F35:F56)</f>
        <v>79500.95708500002</v>
      </c>
      <c r="G10" s="540">
        <f t="shared" si="0"/>
        <v>6067.586592369465</v>
      </c>
      <c r="H10" s="540">
        <f t="shared" si="0"/>
        <v>0</v>
      </c>
      <c r="I10" s="540">
        <f t="shared" si="0"/>
        <v>4226.68014</v>
      </c>
      <c r="J10" s="540">
        <f t="shared" si="0"/>
        <v>310.47614</v>
      </c>
      <c r="K10" s="540">
        <f t="shared" si="0"/>
        <v>3916.094</v>
      </c>
      <c r="L10" s="540">
        <f>SUM(L12,L27,L35:L56)</f>
        <v>0.11</v>
      </c>
      <c r="M10" s="541"/>
      <c r="N10" s="15"/>
      <c r="O10" s="194"/>
      <c r="P10" s="15"/>
    </row>
    <row r="11" spans="2:16" s="11" customFormat="1" ht="9.75" customHeight="1">
      <c r="B11" s="533"/>
      <c r="C11" s="534"/>
      <c r="D11" s="534"/>
      <c r="E11" s="542"/>
      <c r="F11" s="542"/>
      <c r="G11" s="542"/>
      <c r="H11" s="542"/>
      <c r="I11" s="542"/>
      <c r="J11" s="542"/>
      <c r="K11" s="542"/>
      <c r="L11" s="542"/>
      <c r="M11" s="537"/>
      <c r="N11" s="15"/>
      <c r="O11" s="15"/>
      <c r="P11" s="15"/>
    </row>
    <row r="12" spans="2:20" s="16" customFormat="1" ht="14.25">
      <c r="B12" s="543"/>
      <c r="C12" s="544" t="s">
        <v>174</v>
      </c>
      <c r="D12" s="544"/>
      <c r="E12" s="437">
        <f aca="true" t="shared" si="1" ref="E12:L12">SUM(E14:E25)</f>
        <v>12125.13014</v>
      </c>
      <c r="F12" s="437">
        <f t="shared" si="1"/>
        <v>10255.640000000003</v>
      </c>
      <c r="G12" s="437">
        <f t="shared" si="1"/>
        <v>120.92</v>
      </c>
      <c r="H12" s="437">
        <f t="shared" si="1"/>
        <v>0</v>
      </c>
      <c r="I12" s="437">
        <f t="shared" si="1"/>
        <v>1748.5701399999998</v>
      </c>
      <c r="J12" s="437">
        <f t="shared" si="1"/>
        <v>310.47614</v>
      </c>
      <c r="K12" s="437">
        <f t="shared" si="1"/>
        <v>1438.094</v>
      </c>
      <c r="L12" s="437">
        <f t="shared" si="1"/>
        <v>0</v>
      </c>
      <c r="M12" s="91"/>
      <c r="O12" s="79"/>
      <c r="P12" s="79"/>
      <c r="Q12" s="79"/>
      <c r="R12" s="79"/>
      <c r="T12" s="79"/>
    </row>
    <row r="13" spans="2:17" s="13" customFormat="1" ht="9.75" customHeight="1">
      <c r="B13" s="545"/>
      <c r="C13" s="546"/>
      <c r="D13" s="546"/>
      <c r="E13" s="547"/>
      <c r="F13" s="437"/>
      <c r="G13" s="547"/>
      <c r="H13" s="547"/>
      <c r="I13" s="547"/>
      <c r="J13" s="547"/>
      <c r="K13" s="547"/>
      <c r="L13" s="547"/>
      <c r="M13" s="12"/>
      <c r="N13" s="16"/>
      <c r="O13" s="79"/>
      <c r="P13" s="79"/>
      <c r="Q13" s="24"/>
    </row>
    <row r="14" spans="2:17" s="13" customFormat="1" ht="18" customHeight="1">
      <c r="B14" s="545"/>
      <c r="C14" s="546"/>
      <c r="D14" s="546" t="s">
        <v>175</v>
      </c>
      <c r="E14" s="437">
        <f>SUM(F14:I14)</f>
        <v>1375.7045</v>
      </c>
      <c r="F14" s="437">
        <v>875.2</v>
      </c>
      <c r="G14" s="437" t="s">
        <v>21</v>
      </c>
      <c r="H14" s="437" t="s">
        <v>21</v>
      </c>
      <c r="I14" s="437">
        <f>SUM(J14:L14)</f>
        <v>500.5045</v>
      </c>
      <c r="J14" s="437">
        <v>103.3305</v>
      </c>
      <c r="K14" s="437">
        <v>397.17400000000004</v>
      </c>
      <c r="L14" s="437" t="s">
        <v>21</v>
      </c>
      <c r="M14" s="12"/>
      <c r="N14" s="196"/>
      <c r="O14" s="194"/>
      <c r="P14" s="79"/>
      <c r="Q14" s="24"/>
    </row>
    <row r="15" spans="2:17" s="13" customFormat="1" ht="18" customHeight="1">
      <c r="B15" s="545"/>
      <c r="C15" s="546"/>
      <c r="D15" s="546" t="s">
        <v>176</v>
      </c>
      <c r="E15" s="437">
        <f aca="true" t="shared" si="2" ref="E15:E24">SUM(F15:I15)</f>
        <v>64.1</v>
      </c>
      <c r="F15" s="437">
        <v>64.1</v>
      </c>
      <c r="G15" s="437" t="s">
        <v>21</v>
      </c>
      <c r="H15" s="437" t="s">
        <v>21</v>
      </c>
      <c r="I15" s="437">
        <f aca="true" t="shared" si="3" ref="I15:I24">SUM(J15:L15)</f>
        <v>0</v>
      </c>
      <c r="J15" s="437" t="s">
        <v>21</v>
      </c>
      <c r="K15" s="437" t="s">
        <v>21</v>
      </c>
      <c r="L15" s="437" t="s">
        <v>21</v>
      </c>
      <c r="M15" s="12"/>
      <c r="N15" s="196"/>
      <c r="O15" s="79"/>
      <c r="P15" s="79"/>
      <c r="Q15" s="24"/>
    </row>
    <row r="16" spans="2:19" s="13" customFormat="1" ht="18" customHeight="1">
      <c r="B16" s="545"/>
      <c r="C16" s="546"/>
      <c r="D16" s="546" t="s">
        <v>177</v>
      </c>
      <c r="E16" s="437">
        <f t="shared" si="2"/>
        <v>6.714</v>
      </c>
      <c r="F16" s="437">
        <v>3.8</v>
      </c>
      <c r="G16" s="437" t="s">
        <v>21</v>
      </c>
      <c r="H16" s="437" t="s">
        <v>21</v>
      </c>
      <c r="I16" s="437">
        <f t="shared" si="3"/>
        <v>2.9140000000000006</v>
      </c>
      <c r="J16" s="437">
        <v>0.024</v>
      </c>
      <c r="K16" s="437">
        <v>2.8900000000000006</v>
      </c>
      <c r="L16" s="437" t="s">
        <v>21</v>
      </c>
      <c r="M16" s="12"/>
      <c r="N16" s="196"/>
      <c r="O16" s="79"/>
      <c r="P16" s="79"/>
      <c r="Q16" s="24"/>
      <c r="S16" s="24"/>
    </row>
    <row r="17" spans="2:17" s="13" customFormat="1" ht="18" customHeight="1">
      <c r="B17" s="545"/>
      <c r="C17" s="546"/>
      <c r="D17" s="546" t="s">
        <v>178</v>
      </c>
      <c r="E17" s="437">
        <f t="shared" si="2"/>
        <v>9911.9409</v>
      </c>
      <c r="F17" s="437">
        <v>8813</v>
      </c>
      <c r="G17" s="437">
        <v>120.92</v>
      </c>
      <c r="H17" s="437" t="s">
        <v>21</v>
      </c>
      <c r="I17" s="437">
        <f t="shared" si="3"/>
        <v>978.0209</v>
      </c>
      <c r="J17" s="437">
        <v>138.5934</v>
      </c>
      <c r="K17" s="437">
        <v>839.4275</v>
      </c>
      <c r="L17" s="437" t="s">
        <v>21</v>
      </c>
      <c r="M17" s="12"/>
      <c r="N17" s="196"/>
      <c r="O17" s="79"/>
      <c r="P17" s="79"/>
      <c r="Q17" s="24"/>
    </row>
    <row r="18" spans="2:17" s="13" customFormat="1" ht="18" customHeight="1">
      <c r="B18" s="545"/>
      <c r="C18" s="546"/>
      <c r="D18" s="546" t="s">
        <v>302</v>
      </c>
      <c r="E18" s="437">
        <f t="shared" si="2"/>
        <v>0</v>
      </c>
      <c r="F18" s="437" t="s">
        <v>21</v>
      </c>
      <c r="G18" s="437" t="s">
        <v>21</v>
      </c>
      <c r="H18" s="437" t="s">
        <v>21</v>
      </c>
      <c r="I18" s="437">
        <f t="shared" si="3"/>
        <v>0</v>
      </c>
      <c r="J18" s="437" t="s">
        <v>21</v>
      </c>
      <c r="K18" s="437" t="s">
        <v>21</v>
      </c>
      <c r="L18" s="437" t="s">
        <v>21</v>
      </c>
      <c r="M18" s="12"/>
      <c r="N18" s="196"/>
      <c r="O18" s="79"/>
      <c r="P18" s="79"/>
      <c r="Q18" s="24"/>
    </row>
    <row r="19" spans="2:17" s="16" customFormat="1" ht="18" customHeight="1">
      <c r="B19" s="543"/>
      <c r="C19" s="544"/>
      <c r="D19" s="544" t="s">
        <v>179</v>
      </c>
      <c r="E19" s="437">
        <f>SUM(F19:I19)</f>
        <v>242.90399</v>
      </c>
      <c r="F19" s="437">
        <v>208.1</v>
      </c>
      <c r="G19" s="437" t="s">
        <v>21</v>
      </c>
      <c r="H19" s="437" t="s">
        <v>21</v>
      </c>
      <c r="I19" s="437">
        <f t="shared" si="3"/>
        <v>34.80398999999999</v>
      </c>
      <c r="J19" s="437">
        <v>28.09073999999999</v>
      </c>
      <c r="K19" s="437">
        <v>6.713250000000001</v>
      </c>
      <c r="L19" s="437" t="s">
        <v>21</v>
      </c>
      <c r="M19" s="91"/>
      <c r="N19" s="196"/>
      <c r="P19" s="79"/>
      <c r="Q19" s="79"/>
    </row>
    <row r="20" spans="2:17" s="13" customFormat="1" ht="18" customHeight="1">
      <c r="B20" s="545"/>
      <c r="C20" s="546"/>
      <c r="D20" s="546" t="s">
        <v>180</v>
      </c>
      <c r="E20" s="437">
        <f t="shared" si="2"/>
        <v>0</v>
      </c>
      <c r="F20" s="437" t="s">
        <v>21</v>
      </c>
      <c r="G20" s="437" t="s">
        <v>21</v>
      </c>
      <c r="H20" s="437" t="s">
        <v>21</v>
      </c>
      <c r="I20" s="437">
        <f t="shared" si="3"/>
        <v>0</v>
      </c>
      <c r="J20" s="437" t="s">
        <v>21</v>
      </c>
      <c r="K20" s="437" t="s">
        <v>21</v>
      </c>
      <c r="L20" s="437" t="s">
        <v>21</v>
      </c>
      <c r="M20" s="12"/>
      <c r="N20" s="196"/>
      <c r="P20" s="79"/>
      <c r="Q20" s="24"/>
    </row>
    <row r="21" spans="2:17" s="13" customFormat="1" ht="18" customHeight="1">
      <c r="B21" s="545"/>
      <c r="C21" s="546"/>
      <c r="D21" s="546" t="s">
        <v>181</v>
      </c>
      <c r="E21" s="437">
        <f t="shared" si="2"/>
        <v>107.8396</v>
      </c>
      <c r="F21" s="437">
        <v>98.45</v>
      </c>
      <c r="G21" s="437" t="s">
        <v>21</v>
      </c>
      <c r="H21" s="437" t="s">
        <v>21</v>
      </c>
      <c r="I21" s="437">
        <f t="shared" si="3"/>
        <v>9.389600000000002</v>
      </c>
      <c r="J21" s="437">
        <v>6.9846</v>
      </c>
      <c r="K21" s="437">
        <v>2.4050000000000002</v>
      </c>
      <c r="L21" s="437" t="s">
        <v>21</v>
      </c>
      <c r="M21" s="12"/>
      <c r="N21" s="196"/>
      <c r="P21" s="79"/>
      <c r="Q21" s="24"/>
    </row>
    <row r="22" spans="2:17" s="13" customFormat="1" ht="18" customHeight="1">
      <c r="B22" s="545"/>
      <c r="C22" s="546"/>
      <c r="D22" s="546" t="s">
        <v>182</v>
      </c>
      <c r="E22" s="437">
        <f>SUM(F22:I22)</f>
        <v>0</v>
      </c>
      <c r="F22" s="437" t="s">
        <v>21</v>
      </c>
      <c r="G22" s="437" t="s">
        <v>21</v>
      </c>
      <c r="H22" s="437" t="s">
        <v>21</v>
      </c>
      <c r="I22" s="437">
        <f t="shared" si="3"/>
        <v>0</v>
      </c>
      <c r="J22" s="437" t="s">
        <v>21</v>
      </c>
      <c r="K22" s="437" t="s">
        <v>21</v>
      </c>
      <c r="L22" s="437" t="s">
        <v>21</v>
      </c>
      <c r="M22" s="12"/>
      <c r="N22" s="196"/>
      <c r="O22" s="79"/>
      <c r="P22" s="79"/>
      <c r="Q22" s="24"/>
    </row>
    <row r="23" spans="2:17" s="13" customFormat="1" ht="18" customHeight="1">
      <c r="B23" s="545"/>
      <c r="C23" s="546"/>
      <c r="D23" s="546" t="s">
        <v>60</v>
      </c>
      <c r="E23" s="437">
        <f t="shared" si="2"/>
        <v>0</v>
      </c>
      <c r="F23" s="437" t="s">
        <v>21</v>
      </c>
      <c r="G23" s="437" t="s">
        <v>21</v>
      </c>
      <c r="H23" s="437" t="s">
        <v>21</v>
      </c>
      <c r="I23" s="437">
        <f>SUM(J23:L23)</f>
        <v>0</v>
      </c>
      <c r="J23" s="437" t="s">
        <v>21</v>
      </c>
      <c r="K23" s="437" t="s">
        <v>21</v>
      </c>
      <c r="L23" s="437" t="s">
        <v>21</v>
      </c>
      <c r="M23" s="12"/>
      <c r="N23" s="196"/>
      <c r="O23" s="79"/>
      <c r="P23" s="79"/>
      <c r="Q23" s="24"/>
    </row>
    <row r="24" spans="2:17" s="13" customFormat="1" ht="18" customHeight="1">
      <c r="B24" s="545"/>
      <c r="C24" s="546"/>
      <c r="D24" s="546" t="s">
        <v>183</v>
      </c>
      <c r="E24" s="437">
        <f t="shared" si="2"/>
        <v>385.97385</v>
      </c>
      <c r="F24" s="437">
        <v>166.45</v>
      </c>
      <c r="G24" s="437" t="s">
        <v>21</v>
      </c>
      <c r="H24" s="437" t="s">
        <v>21</v>
      </c>
      <c r="I24" s="437">
        <f t="shared" si="3"/>
        <v>219.52385000000004</v>
      </c>
      <c r="J24" s="437">
        <v>30.2076</v>
      </c>
      <c r="K24" s="437">
        <v>189.31625000000003</v>
      </c>
      <c r="L24" s="437" t="s">
        <v>21</v>
      </c>
      <c r="M24" s="12"/>
      <c r="N24" s="196"/>
      <c r="O24" s="79"/>
      <c r="P24" s="79"/>
      <c r="Q24" s="24"/>
    </row>
    <row r="25" spans="2:17" s="13" customFormat="1" ht="18" customHeight="1">
      <c r="B25" s="545"/>
      <c r="C25" s="546"/>
      <c r="D25" s="546" t="s">
        <v>97</v>
      </c>
      <c r="E25" s="437">
        <f>SUM(F25:I25)</f>
        <v>29.9533</v>
      </c>
      <c r="F25" s="437">
        <v>26.54</v>
      </c>
      <c r="G25" s="437" t="s">
        <v>21</v>
      </c>
      <c r="H25" s="437" t="s">
        <v>21</v>
      </c>
      <c r="I25" s="437">
        <f>SUM(J25:L25)</f>
        <v>3.4133</v>
      </c>
      <c r="J25" s="437">
        <v>3.2453</v>
      </c>
      <c r="K25" s="437">
        <v>0.168</v>
      </c>
      <c r="L25" s="437" t="s">
        <v>21</v>
      </c>
      <c r="M25" s="12"/>
      <c r="N25" s="16"/>
      <c r="O25" s="79"/>
      <c r="P25" s="79"/>
      <c r="Q25" s="24"/>
    </row>
    <row r="26" spans="2:16" s="13" customFormat="1" ht="9.75" customHeight="1">
      <c r="B26" s="545"/>
      <c r="C26" s="546"/>
      <c r="E26" s="547"/>
      <c r="F26" s="437"/>
      <c r="G26" s="437"/>
      <c r="H26" s="547"/>
      <c r="I26" s="547"/>
      <c r="J26" s="437"/>
      <c r="K26" s="437"/>
      <c r="L26" s="437"/>
      <c r="M26" s="12"/>
      <c r="N26" s="16"/>
      <c r="O26" s="16"/>
      <c r="P26" s="16"/>
    </row>
    <row r="27" spans="2:16" s="16" customFormat="1" ht="14.25">
      <c r="B27" s="543"/>
      <c r="C27" s="544" t="s">
        <v>184</v>
      </c>
      <c r="D27" s="544"/>
      <c r="E27" s="437">
        <f aca="true" t="shared" si="4" ref="E27:L27">SUM(E29:E33)</f>
        <v>6215.249999999996</v>
      </c>
      <c r="F27" s="437">
        <f t="shared" si="4"/>
        <v>3737.139999999997</v>
      </c>
      <c r="G27" s="437">
        <f t="shared" si="4"/>
        <v>0</v>
      </c>
      <c r="H27" s="437">
        <f t="shared" si="4"/>
        <v>0</v>
      </c>
      <c r="I27" s="437">
        <f t="shared" si="4"/>
        <v>2478.11</v>
      </c>
      <c r="J27" s="437">
        <f t="shared" si="4"/>
        <v>0</v>
      </c>
      <c r="K27" s="437">
        <f t="shared" si="4"/>
        <v>2478</v>
      </c>
      <c r="L27" s="437">
        <f t="shared" si="4"/>
        <v>0.11</v>
      </c>
      <c r="M27" s="91"/>
      <c r="O27" s="79"/>
      <c r="P27" s="79"/>
    </row>
    <row r="28" spans="2:16" s="13" customFormat="1" ht="9.75" customHeight="1">
      <c r="B28" s="545"/>
      <c r="C28" s="546"/>
      <c r="D28" s="546"/>
      <c r="E28" s="547"/>
      <c r="F28" s="437"/>
      <c r="G28" s="437"/>
      <c r="H28" s="547"/>
      <c r="I28" s="547"/>
      <c r="J28" s="437"/>
      <c r="K28" s="437"/>
      <c r="L28" s="437"/>
      <c r="M28" s="12"/>
      <c r="N28" s="16"/>
      <c r="O28" s="16"/>
      <c r="P28" s="16"/>
    </row>
    <row r="29" spans="2:16" s="13" customFormat="1" ht="18" customHeight="1">
      <c r="B29" s="545"/>
      <c r="C29" s="546"/>
      <c r="D29" s="546" t="s">
        <v>185</v>
      </c>
      <c r="E29" s="437">
        <f>SUM(F29:I29)</f>
        <v>0</v>
      </c>
      <c r="F29" s="437" t="s">
        <v>21</v>
      </c>
      <c r="G29" s="437" t="s">
        <v>21</v>
      </c>
      <c r="H29" s="547" t="s">
        <v>21</v>
      </c>
      <c r="I29" s="437">
        <f>SUM(J29:L29)</f>
        <v>0</v>
      </c>
      <c r="J29" s="437" t="s">
        <v>21</v>
      </c>
      <c r="K29" s="437" t="s">
        <v>21</v>
      </c>
      <c r="L29" s="437" t="s">
        <v>21</v>
      </c>
      <c r="M29" s="12"/>
      <c r="N29" s="16"/>
      <c r="O29" s="79"/>
      <c r="P29" s="16"/>
    </row>
    <row r="30" spans="2:17" s="13" customFormat="1" ht="18" customHeight="1">
      <c r="B30" s="545"/>
      <c r="C30" s="546"/>
      <c r="D30" s="546" t="s">
        <v>186</v>
      </c>
      <c r="E30" s="437">
        <f>SUM(F30:I30)</f>
        <v>182</v>
      </c>
      <c r="F30" s="437">
        <v>181.89</v>
      </c>
      <c r="G30" s="437" t="s">
        <v>21</v>
      </c>
      <c r="H30" s="547" t="s">
        <v>21</v>
      </c>
      <c r="I30" s="437">
        <f>SUM(J30:L30)</f>
        <v>0.11</v>
      </c>
      <c r="J30" s="437" t="s">
        <v>21</v>
      </c>
      <c r="K30" s="437" t="s">
        <v>21</v>
      </c>
      <c r="L30" s="437">
        <v>0.11</v>
      </c>
      <c r="M30" s="12"/>
      <c r="N30" s="16"/>
      <c r="O30" s="79"/>
      <c r="P30" s="16"/>
      <c r="Q30" s="24"/>
    </row>
    <row r="31" spans="2:16" s="13" customFormat="1" ht="18" customHeight="1">
      <c r="B31" s="545"/>
      <c r="C31" s="546"/>
      <c r="D31" s="546" t="s">
        <v>187</v>
      </c>
      <c r="E31" s="437">
        <f>SUM(F31:I31)</f>
        <v>5477.099999999997</v>
      </c>
      <c r="F31" s="437">
        <v>2999.099999999997</v>
      </c>
      <c r="G31" s="437" t="s">
        <v>21</v>
      </c>
      <c r="H31" s="547" t="s">
        <v>21</v>
      </c>
      <c r="I31" s="437">
        <f>SUM(J31:L31)</f>
        <v>2478</v>
      </c>
      <c r="J31" s="437" t="s">
        <v>21</v>
      </c>
      <c r="K31" s="437">
        <v>2478</v>
      </c>
      <c r="L31" s="437" t="s">
        <v>21</v>
      </c>
      <c r="M31" s="12"/>
      <c r="N31" s="16"/>
      <c r="O31" s="16"/>
      <c r="P31" s="16"/>
    </row>
    <row r="32" spans="2:16" s="13" customFormat="1" ht="18" customHeight="1">
      <c r="B32" s="545"/>
      <c r="C32" s="546"/>
      <c r="D32" s="546" t="s">
        <v>188</v>
      </c>
      <c r="E32" s="437">
        <f>SUM(F32:I32)</f>
        <v>526.4000000000001</v>
      </c>
      <c r="F32" s="437">
        <v>526.4000000000001</v>
      </c>
      <c r="G32" s="437" t="s">
        <v>21</v>
      </c>
      <c r="H32" s="547" t="s">
        <v>21</v>
      </c>
      <c r="I32" s="437">
        <f>SUM(J32:L32)</f>
        <v>0</v>
      </c>
      <c r="J32" s="437" t="s">
        <v>21</v>
      </c>
      <c r="K32" s="437" t="s">
        <v>21</v>
      </c>
      <c r="L32" s="437" t="s">
        <v>21</v>
      </c>
      <c r="M32" s="12"/>
      <c r="N32" s="16"/>
      <c r="O32" s="16"/>
      <c r="P32" s="16"/>
    </row>
    <row r="33" spans="2:16" s="13" customFormat="1" ht="18" customHeight="1">
      <c r="B33" s="545"/>
      <c r="C33" s="546"/>
      <c r="D33" s="546" t="s">
        <v>97</v>
      </c>
      <c r="E33" s="437">
        <f>SUM(F33:I33)</f>
        <v>29.75</v>
      </c>
      <c r="F33" s="437">
        <v>29.75</v>
      </c>
      <c r="G33" s="437" t="s">
        <v>21</v>
      </c>
      <c r="H33" s="547" t="s">
        <v>21</v>
      </c>
      <c r="I33" s="437">
        <f>SUM(J33:L33)</f>
        <v>0</v>
      </c>
      <c r="J33" s="437" t="s">
        <v>21</v>
      </c>
      <c r="K33" s="437" t="s">
        <v>21</v>
      </c>
      <c r="L33" s="437" t="s">
        <v>21</v>
      </c>
      <c r="M33" s="12"/>
      <c r="N33" s="16"/>
      <c r="O33" s="16"/>
      <c r="P33" s="16"/>
    </row>
    <row r="34" spans="2:16" s="13" customFormat="1" ht="9.75" customHeight="1">
      <c r="B34" s="545"/>
      <c r="C34" s="546"/>
      <c r="D34" s="546"/>
      <c r="E34" s="547"/>
      <c r="F34" s="437"/>
      <c r="G34" s="437"/>
      <c r="H34" s="547"/>
      <c r="I34" s="547" t="s">
        <v>21</v>
      </c>
      <c r="J34" s="437"/>
      <c r="K34" s="437"/>
      <c r="L34" s="437"/>
      <c r="M34" s="12"/>
      <c r="N34" s="16"/>
      <c r="O34" s="16"/>
      <c r="P34" s="16"/>
    </row>
    <row r="35" spans="2:16" s="13" customFormat="1" ht="24" customHeight="1">
      <c r="B35" s="545"/>
      <c r="C35" s="544" t="s">
        <v>189</v>
      </c>
      <c r="D35" s="544"/>
      <c r="E35" s="437">
        <f aca="true" t="shared" si="5" ref="E35:E56">SUM(F35:I35)</f>
        <v>458.596</v>
      </c>
      <c r="F35" s="437">
        <f>83.876+374.72</f>
        <v>458.596</v>
      </c>
      <c r="G35" s="436" t="s">
        <v>21</v>
      </c>
      <c r="H35" s="266" t="s">
        <v>21</v>
      </c>
      <c r="I35" s="437">
        <f aca="true" t="shared" si="6" ref="I35:I56">SUM(J35:L35)</f>
        <v>0</v>
      </c>
      <c r="J35" s="437" t="s">
        <v>21</v>
      </c>
      <c r="K35" s="437" t="s">
        <v>21</v>
      </c>
      <c r="L35" s="437" t="s">
        <v>21</v>
      </c>
      <c r="M35" s="12"/>
      <c r="N35" s="16"/>
      <c r="O35" s="225"/>
      <c r="P35" s="216"/>
    </row>
    <row r="36" spans="2:16" s="13" customFormat="1" ht="24" customHeight="1">
      <c r="B36" s="545"/>
      <c r="C36" s="544" t="s">
        <v>190</v>
      </c>
      <c r="D36" s="544"/>
      <c r="E36" s="437">
        <f t="shared" si="5"/>
        <v>81.60924999999997</v>
      </c>
      <c r="F36" s="437">
        <v>81.60924999999997</v>
      </c>
      <c r="G36" s="436" t="s">
        <v>21</v>
      </c>
      <c r="H36" s="266" t="s">
        <v>21</v>
      </c>
      <c r="I36" s="437">
        <f t="shared" si="6"/>
        <v>0</v>
      </c>
      <c r="J36" s="437" t="s">
        <v>21</v>
      </c>
      <c r="K36" s="437" t="s">
        <v>21</v>
      </c>
      <c r="L36" s="437" t="s">
        <v>21</v>
      </c>
      <c r="M36" s="12"/>
      <c r="N36" s="16"/>
      <c r="O36" s="225"/>
      <c r="P36" s="216"/>
    </row>
    <row r="37" spans="2:16" s="13" customFormat="1" ht="24" customHeight="1">
      <c r="B37" s="545"/>
      <c r="C37" s="544" t="s">
        <v>247</v>
      </c>
      <c r="D37" s="544"/>
      <c r="E37" s="437">
        <f t="shared" si="5"/>
        <v>181.4895</v>
      </c>
      <c r="F37" s="437">
        <f>36.7295+144.76</f>
        <v>181.4895</v>
      </c>
      <c r="G37" s="436" t="s">
        <v>21</v>
      </c>
      <c r="H37" s="266" t="s">
        <v>21</v>
      </c>
      <c r="I37" s="437">
        <f t="shared" si="6"/>
        <v>0</v>
      </c>
      <c r="J37" s="437" t="s">
        <v>21</v>
      </c>
      <c r="K37" s="437" t="s">
        <v>21</v>
      </c>
      <c r="L37" s="437" t="s">
        <v>21</v>
      </c>
      <c r="M37" s="12"/>
      <c r="N37" s="16"/>
      <c r="O37" s="225"/>
      <c r="P37" s="256"/>
    </row>
    <row r="38" spans="2:16" s="13" customFormat="1" ht="24" customHeight="1">
      <c r="B38" s="545"/>
      <c r="C38" s="544" t="s">
        <v>191</v>
      </c>
      <c r="D38" s="544"/>
      <c r="E38" s="437">
        <f t="shared" si="5"/>
        <v>1236.939</v>
      </c>
      <c r="F38" s="437">
        <f>1211.809+25.13</f>
        <v>1236.939</v>
      </c>
      <c r="G38" s="436" t="s">
        <v>21</v>
      </c>
      <c r="H38" s="266" t="s">
        <v>21</v>
      </c>
      <c r="I38" s="437">
        <f t="shared" si="6"/>
        <v>0</v>
      </c>
      <c r="J38" s="437" t="s">
        <v>21</v>
      </c>
      <c r="K38" s="437" t="s">
        <v>21</v>
      </c>
      <c r="L38" s="437" t="s">
        <v>21</v>
      </c>
      <c r="M38" s="12"/>
      <c r="N38" s="16"/>
      <c r="O38" s="257"/>
      <c r="P38"/>
    </row>
    <row r="39" spans="2:16" s="13" customFormat="1" ht="24" customHeight="1">
      <c r="B39" s="545"/>
      <c r="C39" s="544" t="s">
        <v>192</v>
      </c>
      <c r="D39" s="544"/>
      <c r="E39" s="437">
        <f t="shared" si="5"/>
        <v>826.429</v>
      </c>
      <c r="F39" s="437">
        <f>10.919+815.51</f>
        <v>826.429</v>
      </c>
      <c r="G39" s="436" t="s">
        <v>21</v>
      </c>
      <c r="H39" s="266" t="s">
        <v>21</v>
      </c>
      <c r="I39" s="437">
        <f t="shared" si="6"/>
        <v>0</v>
      </c>
      <c r="J39" s="437" t="s">
        <v>21</v>
      </c>
      <c r="K39" s="437" t="s">
        <v>21</v>
      </c>
      <c r="L39" s="437" t="s">
        <v>21</v>
      </c>
      <c r="M39" s="12"/>
      <c r="N39" s="16"/>
      <c r="O39" s="257"/>
      <c r="P39"/>
    </row>
    <row r="40" spans="2:16" s="13" customFormat="1" ht="24" customHeight="1">
      <c r="B40" s="545"/>
      <c r="C40" s="544" t="s">
        <v>193</v>
      </c>
      <c r="D40" s="548"/>
      <c r="E40" s="437">
        <f t="shared" si="5"/>
        <v>223.9845</v>
      </c>
      <c r="F40" s="437">
        <f>14.4245+209.56</f>
        <v>223.9845</v>
      </c>
      <c r="G40" s="436" t="s">
        <v>21</v>
      </c>
      <c r="H40" s="266" t="s">
        <v>21</v>
      </c>
      <c r="I40" s="437">
        <f t="shared" si="6"/>
        <v>0</v>
      </c>
      <c r="J40" s="437" t="s">
        <v>21</v>
      </c>
      <c r="K40" s="437" t="s">
        <v>21</v>
      </c>
      <c r="L40" s="437" t="s">
        <v>21</v>
      </c>
      <c r="M40" s="12"/>
      <c r="N40" s="16"/>
      <c r="O40" s="257"/>
      <c r="P40"/>
    </row>
    <row r="41" spans="2:16" s="13" customFormat="1" ht="24" customHeight="1">
      <c r="B41" s="545"/>
      <c r="C41" s="544" t="s">
        <v>194</v>
      </c>
      <c r="D41" s="544"/>
      <c r="E41" s="437">
        <f t="shared" si="5"/>
        <v>1731.109</v>
      </c>
      <c r="F41" s="437">
        <f>71.119+1659.99</f>
        <v>1731.109</v>
      </c>
      <c r="G41" s="436" t="s">
        <v>21</v>
      </c>
      <c r="H41" s="266" t="s">
        <v>21</v>
      </c>
      <c r="I41" s="437">
        <f t="shared" si="6"/>
        <v>0</v>
      </c>
      <c r="J41" s="437" t="s">
        <v>21</v>
      </c>
      <c r="K41" s="437" t="s">
        <v>21</v>
      </c>
      <c r="L41" s="437" t="s">
        <v>21</v>
      </c>
      <c r="M41" s="12"/>
      <c r="N41" s="16"/>
      <c r="O41" s="257"/>
      <c r="P41"/>
    </row>
    <row r="42" spans="2:16" s="13" customFormat="1" ht="24" customHeight="1">
      <c r="B42" s="545"/>
      <c r="C42" s="544" t="s">
        <v>195</v>
      </c>
      <c r="D42" s="544"/>
      <c r="E42" s="437">
        <f t="shared" si="5"/>
        <v>4111.785605000001</v>
      </c>
      <c r="F42" s="437">
        <v>2053.128615000001</v>
      </c>
      <c r="G42" s="13">
        <v>2058.65699</v>
      </c>
      <c r="H42" s="266" t="s">
        <v>21</v>
      </c>
      <c r="I42" s="437">
        <f t="shared" si="6"/>
        <v>0</v>
      </c>
      <c r="J42" s="437" t="s">
        <v>21</v>
      </c>
      <c r="K42" s="437" t="s">
        <v>21</v>
      </c>
      <c r="L42" s="437" t="s">
        <v>21</v>
      </c>
      <c r="M42" s="12"/>
      <c r="N42" s="16"/>
      <c r="O42" s="257"/>
      <c r="P42"/>
    </row>
    <row r="43" spans="2:16" s="13" customFormat="1" ht="24" customHeight="1">
      <c r="B43" s="545"/>
      <c r="C43" s="544" t="s">
        <v>244</v>
      </c>
      <c r="D43" s="544"/>
      <c r="E43" s="437">
        <f t="shared" si="5"/>
        <v>413.433</v>
      </c>
      <c r="F43" s="437">
        <f>34.573+378.86</f>
        <v>413.433</v>
      </c>
      <c r="G43" s="436" t="s">
        <v>21</v>
      </c>
      <c r="H43" s="266" t="s">
        <v>21</v>
      </c>
      <c r="I43" s="437">
        <f t="shared" si="6"/>
        <v>0</v>
      </c>
      <c r="J43" s="437" t="s">
        <v>21</v>
      </c>
      <c r="K43" s="437" t="s">
        <v>21</v>
      </c>
      <c r="L43" s="437" t="s">
        <v>21</v>
      </c>
      <c r="M43" s="12"/>
      <c r="N43" s="16"/>
      <c r="O43" s="257"/>
      <c r="P43"/>
    </row>
    <row r="44" spans="2:16" s="13" customFormat="1" ht="24" customHeight="1">
      <c r="B44" s="545"/>
      <c r="C44" s="544" t="s">
        <v>196</v>
      </c>
      <c r="D44" s="544"/>
      <c r="E44" s="437">
        <f t="shared" si="5"/>
        <v>5.02</v>
      </c>
      <c r="F44" s="437">
        <v>5.02</v>
      </c>
      <c r="G44" s="436" t="s">
        <v>21</v>
      </c>
      <c r="H44" s="266" t="s">
        <v>21</v>
      </c>
      <c r="I44" s="437">
        <f t="shared" si="6"/>
        <v>0</v>
      </c>
      <c r="J44" s="437" t="s">
        <v>21</v>
      </c>
      <c r="K44" s="437" t="s">
        <v>21</v>
      </c>
      <c r="L44" s="437" t="s">
        <v>21</v>
      </c>
      <c r="M44" s="12"/>
      <c r="N44" s="16"/>
      <c r="O44" s="257"/>
      <c r="P44"/>
    </row>
    <row r="45" spans="2:16" s="13" customFormat="1" ht="24" customHeight="1">
      <c r="B45" s="545"/>
      <c r="C45" s="544" t="s">
        <v>245</v>
      </c>
      <c r="D45" s="544"/>
      <c r="E45" s="437">
        <f t="shared" si="5"/>
        <v>3190.45</v>
      </c>
      <c r="F45" s="437">
        <v>3190.45</v>
      </c>
      <c r="G45" s="436" t="s">
        <v>21</v>
      </c>
      <c r="H45" s="266" t="s">
        <v>21</v>
      </c>
      <c r="I45" s="437">
        <f t="shared" si="6"/>
        <v>0</v>
      </c>
      <c r="J45" s="437" t="s">
        <v>21</v>
      </c>
      <c r="K45" s="437" t="s">
        <v>21</v>
      </c>
      <c r="L45" s="437" t="s">
        <v>21</v>
      </c>
      <c r="M45" s="12"/>
      <c r="N45" s="16"/>
      <c r="O45" s="257"/>
      <c r="P45"/>
    </row>
    <row r="46" spans="2:16" s="13" customFormat="1" ht="24" customHeight="1">
      <c r="B46" s="545"/>
      <c r="C46" s="544" t="s">
        <v>197</v>
      </c>
      <c r="D46" s="548"/>
      <c r="E46" s="437">
        <f t="shared" si="5"/>
        <v>142.29</v>
      </c>
      <c r="F46" s="437">
        <v>142.29</v>
      </c>
      <c r="G46" s="436" t="s">
        <v>21</v>
      </c>
      <c r="H46" s="266" t="s">
        <v>21</v>
      </c>
      <c r="I46" s="437">
        <f t="shared" si="6"/>
        <v>0</v>
      </c>
      <c r="J46" s="437" t="s">
        <v>21</v>
      </c>
      <c r="K46" s="437" t="s">
        <v>21</v>
      </c>
      <c r="L46" s="437" t="s">
        <v>21</v>
      </c>
      <c r="M46" s="12"/>
      <c r="N46" s="16"/>
      <c r="O46" s="257"/>
      <c r="P46"/>
    </row>
    <row r="47" spans="2:16" s="13" customFormat="1" ht="24" customHeight="1">
      <c r="B47" s="545"/>
      <c r="C47" s="544" t="s">
        <v>198</v>
      </c>
      <c r="D47" s="544"/>
      <c r="E47" s="437">
        <f t="shared" si="5"/>
        <v>7.73</v>
      </c>
      <c r="F47" s="437">
        <v>7.73</v>
      </c>
      <c r="G47" s="436" t="s">
        <v>21</v>
      </c>
      <c r="H47" s="266" t="s">
        <v>21</v>
      </c>
      <c r="I47" s="437">
        <f t="shared" si="6"/>
        <v>0</v>
      </c>
      <c r="J47" s="437" t="s">
        <v>21</v>
      </c>
      <c r="K47" s="437" t="s">
        <v>21</v>
      </c>
      <c r="L47" s="437" t="s">
        <v>21</v>
      </c>
      <c r="M47" s="12"/>
      <c r="N47" s="16"/>
      <c r="O47" s="257"/>
      <c r="P47"/>
    </row>
    <row r="48" spans="2:16" s="13" customFormat="1" ht="24" customHeight="1">
      <c r="B48" s="545"/>
      <c r="C48" s="544" t="s">
        <v>199</v>
      </c>
      <c r="D48" s="544"/>
      <c r="E48" s="437">
        <f t="shared" si="5"/>
        <v>786.47</v>
      </c>
      <c r="F48" s="437">
        <v>786.47</v>
      </c>
      <c r="G48" s="436" t="s">
        <v>21</v>
      </c>
      <c r="H48" s="266" t="s">
        <v>21</v>
      </c>
      <c r="I48" s="437">
        <f t="shared" si="6"/>
        <v>0</v>
      </c>
      <c r="J48" s="437" t="s">
        <v>21</v>
      </c>
      <c r="K48" s="437" t="s">
        <v>21</v>
      </c>
      <c r="L48" s="437" t="s">
        <v>21</v>
      </c>
      <c r="M48" s="12"/>
      <c r="N48" s="16"/>
      <c r="O48" s="257"/>
      <c r="P48"/>
    </row>
    <row r="49" spans="2:16" s="16" customFormat="1" ht="24" customHeight="1">
      <c r="B49" s="543"/>
      <c r="C49" s="544" t="s">
        <v>200</v>
      </c>
      <c r="D49" s="544"/>
      <c r="E49" s="437">
        <f t="shared" si="5"/>
        <v>458.68600000000004</v>
      </c>
      <c r="F49" s="437">
        <f>252.876+205.81</f>
        <v>458.68600000000004</v>
      </c>
      <c r="G49" s="436" t="s">
        <v>21</v>
      </c>
      <c r="H49" s="266" t="s">
        <v>21</v>
      </c>
      <c r="I49" s="437">
        <f t="shared" si="6"/>
        <v>0</v>
      </c>
      <c r="J49" s="437" t="s">
        <v>21</v>
      </c>
      <c r="K49" s="437" t="s">
        <v>21</v>
      </c>
      <c r="L49" s="437" t="s">
        <v>21</v>
      </c>
      <c r="M49" s="91"/>
      <c r="O49" s="257"/>
      <c r="P49"/>
    </row>
    <row r="50" spans="2:16" s="13" customFormat="1" ht="24" customHeight="1">
      <c r="B50" s="545"/>
      <c r="C50" s="544" t="s">
        <v>201</v>
      </c>
      <c r="D50" s="544"/>
      <c r="E50" s="437">
        <f t="shared" si="5"/>
        <v>0</v>
      </c>
      <c r="F50" s="437" t="s">
        <v>21</v>
      </c>
      <c r="G50" s="436" t="s">
        <v>21</v>
      </c>
      <c r="H50" s="266" t="s">
        <v>21</v>
      </c>
      <c r="I50" s="437">
        <f t="shared" si="6"/>
        <v>0</v>
      </c>
      <c r="J50" s="437" t="s">
        <v>21</v>
      </c>
      <c r="K50" s="437" t="s">
        <v>21</v>
      </c>
      <c r="L50" s="437" t="s">
        <v>21</v>
      </c>
      <c r="M50" s="12"/>
      <c r="N50" s="16"/>
      <c r="O50" s="257"/>
      <c r="P50"/>
    </row>
    <row r="51" spans="2:16" s="13" customFormat="1" ht="24" customHeight="1">
      <c r="B51" s="545"/>
      <c r="C51" s="544" t="s">
        <v>202</v>
      </c>
      <c r="D51" s="544"/>
      <c r="E51" s="437">
        <f t="shared" si="5"/>
        <v>2809.204099999998</v>
      </c>
      <c r="F51" s="437">
        <v>1664.5082899999982</v>
      </c>
      <c r="G51" s="436">
        <v>1144.6958099999997</v>
      </c>
      <c r="H51" s="266" t="s">
        <v>21</v>
      </c>
      <c r="I51" s="437">
        <f t="shared" si="6"/>
        <v>0</v>
      </c>
      <c r="J51" s="437" t="s">
        <v>21</v>
      </c>
      <c r="K51" s="437" t="s">
        <v>21</v>
      </c>
      <c r="L51" s="437" t="s">
        <v>21</v>
      </c>
      <c r="M51" s="12"/>
      <c r="N51" s="16"/>
      <c r="O51" s="257"/>
      <c r="P51"/>
    </row>
    <row r="52" spans="2:16" s="13" customFormat="1" ht="24" customHeight="1">
      <c r="B52" s="545"/>
      <c r="C52" s="544" t="s">
        <v>203</v>
      </c>
      <c r="D52" s="544"/>
      <c r="E52" s="437">
        <f t="shared" si="5"/>
        <v>583.2229299999999</v>
      </c>
      <c r="F52" s="437">
        <v>583.2229299999999</v>
      </c>
      <c r="G52" s="436" t="s">
        <v>21</v>
      </c>
      <c r="H52" s="266" t="s">
        <v>21</v>
      </c>
      <c r="I52" s="437">
        <f t="shared" si="6"/>
        <v>0</v>
      </c>
      <c r="J52" s="437" t="s">
        <v>21</v>
      </c>
      <c r="K52" s="437" t="s">
        <v>21</v>
      </c>
      <c r="L52" s="437" t="s">
        <v>21</v>
      </c>
      <c r="M52" s="12"/>
      <c r="N52" s="16"/>
      <c r="O52" s="257"/>
      <c r="P52"/>
    </row>
    <row r="53" spans="2:16" s="16" customFormat="1" ht="24" customHeight="1">
      <c r="B53" s="543"/>
      <c r="C53" s="544" t="s">
        <v>204</v>
      </c>
      <c r="D53" s="549"/>
      <c r="E53" s="437">
        <f t="shared" si="5"/>
        <v>51223.88079236947</v>
      </c>
      <c r="F53" s="437">
        <f>309.431999999999+48174.58</f>
        <v>48484.012</v>
      </c>
      <c r="G53" s="436">
        <v>2739.868792369465</v>
      </c>
      <c r="H53" s="266" t="s">
        <v>21</v>
      </c>
      <c r="I53" s="437">
        <f t="shared" si="6"/>
        <v>0</v>
      </c>
      <c r="J53" s="437" t="s">
        <v>21</v>
      </c>
      <c r="K53" s="437" t="s">
        <v>21</v>
      </c>
      <c r="L53" s="437" t="s">
        <v>21</v>
      </c>
      <c r="M53" s="91"/>
      <c r="N53" s="79"/>
      <c r="O53" s="257"/>
      <c r="P53"/>
    </row>
    <row r="54" spans="2:16" s="13" customFormat="1" ht="24" customHeight="1">
      <c r="B54" s="545"/>
      <c r="C54" s="544" t="s">
        <v>248</v>
      </c>
      <c r="D54" s="544"/>
      <c r="E54" s="437">
        <f t="shared" si="5"/>
        <v>2935.82</v>
      </c>
      <c r="F54" s="437">
        <f>175.94+2759.88</f>
        <v>2935.82</v>
      </c>
      <c r="G54" s="436" t="s">
        <v>21</v>
      </c>
      <c r="H54" s="266" t="s">
        <v>21</v>
      </c>
      <c r="I54" s="437">
        <f t="shared" si="6"/>
        <v>0</v>
      </c>
      <c r="J54" s="437" t="s">
        <v>21</v>
      </c>
      <c r="K54" s="437" t="s">
        <v>21</v>
      </c>
      <c r="L54" s="437" t="s">
        <v>21</v>
      </c>
      <c r="M54" s="12"/>
      <c r="N54" s="16"/>
      <c r="O54" s="257"/>
      <c r="P54"/>
    </row>
    <row r="55" spans="2:16" s="13" customFormat="1" ht="24" customHeight="1">
      <c r="B55" s="545"/>
      <c r="C55" s="544" t="s">
        <v>205</v>
      </c>
      <c r="D55" s="544"/>
      <c r="E55" s="437">
        <f t="shared" si="5"/>
        <v>36.81</v>
      </c>
      <c r="F55" s="437">
        <v>36.81</v>
      </c>
      <c r="G55" s="436" t="s">
        <v>21</v>
      </c>
      <c r="H55" s="266" t="s">
        <v>21</v>
      </c>
      <c r="I55" s="437">
        <f t="shared" si="6"/>
        <v>0</v>
      </c>
      <c r="J55" s="437" t="s">
        <v>21</v>
      </c>
      <c r="K55" s="437" t="s">
        <v>21</v>
      </c>
      <c r="L55" s="437" t="s">
        <v>21</v>
      </c>
      <c r="M55" s="12"/>
      <c r="N55" s="16"/>
      <c r="O55" s="257"/>
      <c r="P55"/>
    </row>
    <row r="56" spans="2:16" s="13" customFormat="1" ht="24" customHeight="1">
      <c r="B56" s="545"/>
      <c r="C56" s="544" t="s">
        <v>206</v>
      </c>
      <c r="D56" s="544"/>
      <c r="E56" s="437">
        <f t="shared" si="5"/>
        <v>9.885</v>
      </c>
      <c r="F56" s="437">
        <v>6.44</v>
      </c>
      <c r="G56" s="436">
        <v>3.445</v>
      </c>
      <c r="H56" s="266" t="s">
        <v>21</v>
      </c>
      <c r="I56" s="437">
        <f t="shared" si="6"/>
        <v>0</v>
      </c>
      <c r="J56" s="437" t="s">
        <v>21</v>
      </c>
      <c r="K56" s="437" t="s">
        <v>21</v>
      </c>
      <c r="L56" s="437" t="s">
        <v>21</v>
      </c>
      <c r="M56" s="12"/>
      <c r="N56" s="16"/>
      <c r="O56" s="257"/>
      <c r="P56"/>
    </row>
    <row r="57" spans="1:16" ht="7.5" customHeight="1">
      <c r="A57" s="13"/>
      <c r="B57" s="550"/>
      <c r="C57" s="551"/>
      <c r="D57" s="551"/>
      <c r="E57" s="551"/>
      <c r="F57" s="552"/>
      <c r="G57" s="551"/>
      <c r="H57" s="551"/>
      <c r="I57" s="551"/>
      <c r="J57" s="551"/>
      <c r="K57" s="551"/>
      <c r="L57" s="551"/>
      <c r="M57" s="553"/>
      <c r="O57" s="257"/>
      <c r="P57"/>
    </row>
    <row r="58" spans="1:16" ht="11.25" customHeight="1">
      <c r="A58" s="13"/>
      <c r="B58" s="44" t="s">
        <v>272</v>
      </c>
      <c r="C58" s="197"/>
      <c r="D58" s="197"/>
      <c r="E58" s="349"/>
      <c r="F58" s="199"/>
      <c r="G58" s="198"/>
      <c r="H58" s="198"/>
      <c r="I58" s="349"/>
      <c r="J58" s="198"/>
      <c r="K58" s="198"/>
      <c r="L58" s="198"/>
      <c r="M58" s="197"/>
      <c r="O58" s="257"/>
      <c r="P58"/>
    </row>
    <row r="59" spans="2:16" s="39" customFormat="1" ht="12.75">
      <c r="B59" s="44" t="s">
        <v>239</v>
      </c>
      <c r="E59" s="350"/>
      <c r="F59" s="74"/>
      <c r="G59" s="74"/>
      <c r="H59" s="74"/>
      <c r="I59" s="350"/>
      <c r="J59" s="74"/>
      <c r="K59" s="74"/>
      <c r="L59" s="74"/>
      <c r="N59" s="44"/>
      <c r="O59" s="257"/>
      <c r="P59" s="258"/>
    </row>
    <row r="61" spans="5:16" s="5" customFormat="1" ht="12.75">
      <c r="E61" s="351"/>
      <c r="F61" s="28"/>
      <c r="G61" s="28"/>
      <c r="H61" s="28"/>
      <c r="I61" s="351"/>
      <c r="J61" s="28"/>
      <c r="K61" s="28"/>
      <c r="L61" s="28"/>
      <c r="N61" s="291"/>
      <c r="O61" s="291"/>
      <c r="P61" s="291"/>
    </row>
    <row r="62" spans="1:16" s="293" customFormat="1" ht="12.75">
      <c r="A62" s="292"/>
      <c r="D62" s="459" t="s">
        <v>174</v>
      </c>
      <c r="E62" s="460">
        <f>+E12</f>
        <v>12125.13014</v>
      </c>
      <c r="F62" s="461">
        <f>+E62/$E$67</f>
        <v>0.13503090280904878</v>
      </c>
      <c r="G62" s="294"/>
      <c r="H62" s="295"/>
      <c r="I62" s="352"/>
      <c r="J62" s="295"/>
      <c r="K62" s="295"/>
      <c r="L62" s="295"/>
      <c r="N62" s="221"/>
      <c r="O62" s="221"/>
      <c r="P62" s="221"/>
    </row>
    <row r="63" spans="4:16" s="293" customFormat="1" ht="12.75">
      <c r="D63" s="459" t="s">
        <v>184</v>
      </c>
      <c r="E63" s="460">
        <f>+E27</f>
        <v>6215.249999999996</v>
      </c>
      <c r="F63" s="461">
        <f>+E63/$E$67</f>
        <v>0.0692158194587378</v>
      </c>
      <c r="G63" s="294"/>
      <c r="H63" s="295"/>
      <c r="I63" s="352"/>
      <c r="J63" s="295"/>
      <c r="K63" s="295"/>
      <c r="L63" s="295"/>
      <c r="N63" s="221"/>
      <c r="O63" s="221"/>
      <c r="P63" s="221"/>
    </row>
    <row r="64" spans="4:16" s="293" customFormat="1" ht="12.75">
      <c r="D64" s="459" t="s">
        <v>204</v>
      </c>
      <c r="E64" s="462">
        <f>+E53</f>
        <v>51223.88079236947</v>
      </c>
      <c r="F64" s="461">
        <f>+E64/$E$67</f>
        <v>0.5704521756808743</v>
      </c>
      <c r="G64" s="294"/>
      <c r="H64" s="295"/>
      <c r="I64" s="352"/>
      <c r="J64" s="295"/>
      <c r="K64" s="295"/>
      <c r="L64" s="295"/>
      <c r="N64" s="221"/>
      <c r="O64" s="221"/>
      <c r="P64" s="221"/>
    </row>
    <row r="65" spans="4:16" s="293" customFormat="1" ht="12.75">
      <c r="D65" s="459" t="s">
        <v>245</v>
      </c>
      <c r="E65" s="460">
        <f>+E45</f>
        <v>3190.45</v>
      </c>
      <c r="F65" s="461">
        <f>+E65/$E$67</f>
        <v>0.03553028618191225</v>
      </c>
      <c r="G65" s="294"/>
      <c r="H65" s="295"/>
      <c r="I65" s="352"/>
      <c r="J65" s="295"/>
      <c r="K65" s="295"/>
      <c r="L65" s="295"/>
      <c r="N65" s="221"/>
      <c r="O65" s="221"/>
      <c r="P65" s="221"/>
    </row>
    <row r="66" spans="4:16" s="293" customFormat="1" ht="12.75">
      <c r="D66" s="459" t="s">
        <v>97</v>
      </c>
      <c r="E66" s="460">
        <f>E10-SUM(E62:E65)</f>
        <v>17040.512885000004</v>
      </c>
      <c r="F66" s="461">
        <f>+E66/$E$67</f>
        <v>0.18977081586942696</v>
      </c>
      <c r="G66" s="294"/>
      <c r="H66" s="295"/>
      <c r="I66" s="352"/>
      <c r="J66" s="295"/>
      <c r="K66" s="295"/>
      <c r="L66" s="295"/>
      <c r="N66" s="221"/>
      <c r="O66" s="221"/>
      <c r="P66" s="221"/>
    </row>
    <row r="67" spans="1:16" s="292" customFormat="1" ht="12.75">
      <c r="A67" s="293"/>
      <c r="D67" s="459" t="s">
        <v>1</v>
      </c>
      <c r="E67" s="460">
        <f>SUM(E62:E66)</f>
        <v>89795.22381736946</v>
      </c>
      <c r="F67" s="459"/>
      <c r="G67" s="294">
        <v>0</v>
      </c>
      <c r="H67" s="294"/>
      <c r="I67" s="353"/>
      <c r="J67" s="294"/>
      <c r="K67" s="294"/>
      <c r="L67" s="294"/>
      <c r="N67" s="291"/>
      <c r="O67" s="291"/>
      <c r="P67" s="291"/>
    </row>
    <row r="68" spans="5:16" s="5" customFormat="1" ht="12.75">
      <c r="E68" s="351"/>
      <c r="F68" s="28"/>
      <c r="G68" s="28"/>
      <c r="H68" s="28"/>
      <c r="I68" s="351"/>
      <c r="J68" s="28"/>
      <c r="K68" s="28"/>
      <c r="L68" s="28"/>
      <c r="N68" s="291"/>
      <c r="O68" s="291"/>
      <c r="P68" s="291"/>
    </row>
    <row r="69" spans="5:16" s="5" customFormat="1" ht="12.75">
      <c r="E69" s="351"/>
      <c r="F69" s="28"/>
      <c r="G69" s="28"/>
      <c r="H69" s="28"/>
      <c r="I69" s="351"/>
      <c r="J69" s="28"/>
      <c r="K69" s="28"/>
      <c r="L69" s="28"/>
      <c r="N69" s="291"/>
      <c r="O69" s="291"/>
      <c r="P69" s="291"/>
    </row>
    <row r="70" spans="5:16" s="5" customFormat="1" ht="12.75">
      <c r="E70" s="351"/>
      <c r="F70" s="28"/>
      <c r="G70" s="28"/>
      <c r="H70" s="28"/>
      <c r="I70" s="351"/>
      <c r="J70" s="28"/>
      <c r="K70" s="28"/>
      <c r="L70" s="28"/>
      <c r="N70" s="291"/>
      <c r="O70" s="291"/>
      <c r="P70" s="291"/>
    </row>
    <row r="71" spans="5:16" s="5" customFormat="1" ht="12.75">
      <c r="E71" s="351"/>
      <c r="F71" s="28"/>
      <c r="G71" s="28"/>
      <c r="H71" s="28"/>
      <c r="I71" s="351"/>
      <c r="J71" s="28"/>
      <c r="K71" s="28"/>
      <c r="L71" s="28"/>
      <c r="N71" s="291"/>
      <c r="O71" s="291"/>
      <c r="P71" s="291"/>
    </row>
    <row r="72" spans="5:16" s="5" customFormat="1" ht="12.75">
      <c r="E72" s="351"/>
      <c r="F72" s="28"/>
      <c r="G72" s="28"/>
      <c r="H72" s="28"/>
      <c r="I72" s="351"/>
      <c r="J72" s="28"/>
      <c r="K72" s="28"/>
      <c r="L72" s="28"/>
      <c r="N72" s="291"/>
      <c r="O72" s="291"/>
      <c r="P72" s="291"/>
    </row>
    <row r="73" spans="1:8" ht="12.75">
      <c r="A73" s="95"/>
      <c r="B73" s="95"/>
      <c r="C73" s="95"/>
      <c r="D73" s="95"/>
      <c r="E73" s="355"/>
      <c r="F73" s="177"/>
      <c r="G73" s="177"/>
      <c r="H73" s="177"/>
    </row>
    <row r="74" spans="1:8" ht="12.75">
      <c r="A74" s="95"/>
      <c r="B74" s="95"/>
      <c r="C74" s="95"/>
      <c r="D74" s="95"/>
      <c r="E74" s="355"/>
      <c r="F74" s="177"/>
      <c r="G74" s="177"/>
      <c r="H74" s="177"/>
    </row>
    <row r="75" spans="1:8" ht="12.75">
      <c r="A75" s="95"/>
      <c r="B75" s="95"/>
      <c r="C75" s="95"/>
      <c r="D75" s="95"/>
      <c r="E75" s="355"/>
      <c r="F75" s="177"/>
      <c r="G75" s="177"/>
      <c r="H75" s="177"/>
    </row>
    <row r="76" spans="1:8" ht="12.75">
      <c r="A76" s="95"/>
      <c r="B76" s="95"/>
      <c r="C76" s="95"/>
      <c r="D76" s="95"/>
      <c r="E76" s="355"/>
      <c r="F76" s="177"/>
      <c r="G76" s="177"/>
      <c r="H76" s="177"/>
    </row>
    <row r="92" ht="12.75">
      <c r="D92" s="44" t="s">
        <v>239</v>
      </c>
    </row>
  </sheetData>
  <sheetProtection/>
  <mergeCells count="11">
    <mergeCell ref="G7:G8"/>
    <mergeCell ref="H7:H8"/>
    <mergeCell ref="I7:M7"/>
    <mergeCell ref="B10:D10"/>
    <mergeCell ref="B2:M2"/>
    <mergeCell ref="B3:M3"/>
    <mergeCell ref="B4:M4"/>
    <mergeCell ref="B6:D8"/>
    <mergeCell ref="E6:E8"/>
    <mergeCell ref="F6:M6"/>
    <mergeCell ref="F7:F8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W74"/>
  <sheetViews>
    <sheetView showGridLines="0" zoomScale="90" zoomScaleNormal="90" zoomScalePageLayoutView="0" workbookViewId="0" topLeftCell="A1">
      <selection activeCell="X31" sqref="X31"/>
    </sheetView>
  </sheetViews>
  <sheetFormatPr defaultColWidth="9.140625" defaultRowHeight="12.75"/>
  <cols>
    <col min="1" max="1" width="2.140625" style="9" customWidth="1"/>
    <col min="2" max="2" width="0.9921875" style="9" customWidth="1"/>
    <col min="3" max="3" width="2.57421875" style="9" customWidth="1"/>
    <col min="4" max="4" width="37.8515625" style="9" customWidth="1"/>
    <col min="5" max="5" width="12.57421875" style="31" customWidth="1"/>
    <col min="6" max="6" width="15.140625" style="31" customWidth="1"/>
    <col min="7" max="8" width="10.57421875" style="31" customWidth="1"/>
    <col min="9" max="9" width="11.57421875" style="31" customWidth="1"/>
    <col min="10" max="11" width="11.7109375" style="31" customWidth="1"/>
    <col min="12" max="12" width="12.00390625" style="31" customWidth="1"/>
    <col min="13" max="14" width="10.57421875" style="31" customWidth="1"/>
    <col min="15" max="16" width="11.7109375" style="31" customWidth="1"/>
    <col min="17" max="17" width="10.57421875" style="31" customWidth="1"/>
    <col min="18" max="18" width="1.28515625" style="9" customWidth="1"/>
    <col min="19" max="33" width="6.421875" style="575" customWidth="1"/>
    <col min="34" max="34" width="6.421875" style="31" customWidth="1"/>
    <col min="35" max="16384" width="9.140625" style="9" customWidth="1"/>
  </cols>
  <sheetData>
    <row r="2" spans="2:34" s="8" customFormat="1" ht="16.5">
      <c r="B2" s="505" t="s">
        <v>293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75"/>
    </row>
    <row r="3" spans="2:34" s="8" customFormat="1" ht="16.5">
      <c r="B3" s="505" t="s">
        <v>145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75"/>
    </row>
    <row r="4" spans="5:34" s="8" customFormat="1" ht="30" customHeight="1">
      <c r="E4" s="75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75"/>
    </row>
    <row r="5" spans="2:34" s="17" customFormat="1" ht="38.25" customHeight="1">
      <c r="B5" s="576" t="s">
        <v>263</v>
      </c>
      <c r="C5" s="577"/>
      <c r="D5" s="578"/>
      <c r="E5" s="579" t="s">
        <v>1</v>
      </c>
      <c r="F5" s="580" t="s">
        <v>2</v>
      </c>
      <c r="G5" s="580" t="s">
        <v>3</v>
      </c>
      <c r="H5" s="580" t="s">
        <v>4</v>
      </c>
      <c r="I5" s="580" t="s">
        <v>5</v>
      </c>
      <c r="J5" s="580" t="s">
        <v>6</v>
      </c>
      <c r="K5" s="580" t="s">
        <v>7</v>
      </c>
      <c r="L5" s="580" t="s">
        <v>8</v>
      </c>
      <c r="M5" s="580" t="s">
        <v>9</v>
      </c>
      <c r="N5" s="580" t="s">
        <v>10</v>
      </c>
      <c r="O5" s="580" t="s">
        <v>11</v>
      </c>
      <c r="P5" s="580" t="s">
        <v>12</v>
      </c>
      <c r="Q5" s="576" t="s">
        <v>13</v>
      </c>
      <c r="R5" s="578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567"/>
      <c r="AF5" s="567"/>
      <c r="AG5" s="567"/>
      <c r="AH5" s="27"/>
    </row>
    <row r="6" spans="2:34" s="25" customFormat="1" ht="5.25" customHeight="1">
      <c r="B6" s="581"/>
      <c r="C6" s="582"/>
      <c r="D6" s="582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4"/>
      <c r="S6" s="568"/>
      <c r="T6" s="568"/>
      <c r="U6" s="568"/>
      <c r="V6" s="568"/>
      <c r="W6" s="568"/>
      <c r="X6" s="568"/>
      <c r="Y6" s="568"/>
      <c r="Z6" s="568"/>
      <c r="AA6" s="568"/>
      <c r="AB6" s="568"/>
      <c r="AC6" s="568"/>
      <c r="AD6" s="568"/>
      <c r="AE6" s="568"/>
      <c r="AF6" s="568"/>
      <c r="AG6" s="568"/>
      <c r="AH6" s="32"/>
    </row>
    <row r="7" spans="2:34" s="25" customFormat="1" ht="19.5" customHeight="1">
      <c r="B7" s="585" t="s">
        <v>1</v>
      </c>
      <c r="C7" s="586"/>
      <c r="D7" s="586"/>
      <c r="E7" s="587">
        <f>SUM(E9,E29)</f>
        <v>64517.77240839631</v>
      </c>
      <c r="F7" s="587">
        <f>SUM(F9,F29)</f>
        <v>4338.7390528857595</v>
      </c>
      <c r="G7" s="587">
        <f aca="true" t="shared" si="0" ref="G7:Q7">SUM(G9,G29)</f>
        <v>5883.660902193328</v>
      </c>
      <c r="H7" s="587">
        <f t="shared" si="0"/>
        <v>5861.210342812912</v>
      </c>
      <c r="I7" s="587">
        <f t="shared" si="0"/>
        <v>6383.3454469986345</v>
      </c>
      <c r="J7" s="587">
        <f t="shared" si="0"/>
        <v>5374.055928051693</v>
      </c>
      <c r="K7" s="587">
        <f t="shared" si="0"/>
        <v>4082.0600036111364</v>
      </c>
      <c r="L7" s="587">
        <f t="shared" si="0"/>
        <v>5112.200346434489</v>
      </c>
      <c r="M7" s="587">
        <f t="shared" si="0"/>
        <v>5039.410753469235</v>
      </c>
      <c r="N7" s="587">
        <f t="shared" si="0"/>
        <v>5431.572471798461</v>
      </c>
      <c r="O7" s="587">
        <f t="shared" si="0"/>
        <v>5029.343291355555</v>
      </c>
      <c r="P7" s="587">
        <f t="shared" si="0"/>
        <v>5907.67795542232</v>
      </c>
      <c r="Q7" s="587">
        <f t="shared" si="0"/>
        <v>6074.495913362787</v>
      </c>
      <c r="R7" s="588" t="e">
        <f>SUM(R9,R29,#REF!)</f>
        <v>#REF!</v>
      </c>
      <c r="S7" s="569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32"/>
    </row>
    <row r="8" spans="2:34" s="25" customFormat="1" ht="7.5" customHeight="1">
      <c r="B8" s="581"/>
      <c r="C8" s="582"/>
      <c r="D8" s="582"/>
      <c r="E8" s="589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84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32"/>
    </row>
    <row r="9" spans="2:34" s="25" customFormat="1" ht="19.5" customHeight="1">
      <c r="B9" s="591"/>
      <c r="C9" s="592" t="s">
        <v>152</v>
      </c>
      <c r="D9" s="592"/>
      <c r="E9" s="587">
        <f>SUM(E11:E27)</f>
        <v>58574.550816026844</v>
      </c>
      <c r="F9" s="587">
        <f>SUM(F11:F27)</f>
        <v>3967.7050428857597</v>
      </c>
      <c r="G9" s="587">
        <f aca="true" t="shared" si="1" ref="G9:Q9">SUM(G11:G27)</f>
        <v>5527.425312193328</v>
      </c>
      <c r="H9" s="587">
        <f t="shared" si="1"/>
        <v>5489.098062812912</v>
      </c>
      <c r="I9" s="587">
        <f t="shared" si="1"/>
        <v>5969.284156998635</v>
      </c>
      <c r="J9" s="587">
        <f t="shared" si="1"/>
        <v>4817.645418051693</v>
      </c>
      <c r="K9" s="587">
        <f t="shared" si="1"/>
        <v>3591.591783611136</v>
      </c>
      <c r="L9" s="587">
        <f t="shared" si="1"/>
        <v>4667.044216434489</v>
      </c>
      <c r="M9" s="587">
        <f t="shared" si="1"/>
        <v>4578.555433469235</v>
      </c>
      <c r="N9" s="587">
        <f t="shared" si="1"/>
        <v>4988.8583917984615</v>
      </c>
      <c r="O9" s="587">
        <f t="shared" si="1"/>
        <v>4473.596257355555</v>
      </c>
      <c r="P9" s="587">
        <f t="shared" si="1"/>
        <v>5112.579667052854</v>
      </c>
      <c r="Q9" s="587">
        <f t="shared" si="1"/>
        <v>5391.167073362787</v>
      </c>
      <c r="R9" s="593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32"/>
    </row>
    <row r="10" spans="2:34" s="26" customFormat="1" ht="15" customHeight="1">
      <c r="B10" s="594"/>
      <c r="C10" s="595"/>
      <c r="D10" s="595"/>
      <c r="E10" s="596"/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7"/>
      <c r="Q10" s="597"/>
      <c r="R10" s="598">
        <v>45.568</v>
      </c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  <c r="AD10" s="570"/>
      <c r="AE10" s="570"/>
      <c r="AF10" s="570"/>
      <c r="AG10" s="570"/>
      <c r="AH10" s="76"/>
    </row>
    <row r="11" spans="2:34" s="26" customFormat="1" ht="19.5" customHeight="1">
      <c r="B11" s="594"/>
      <c r="C11" s="595"/>
      <c r="D11" s="595" t="s">
        <v>189</v>
      </c>
      <c r="E11" s="596">
        <f aca="true" t="shared" si="2" ref="E11:E27">SUM(F11:Q11)</f>
        <v>363.00600000000003</v>
      </c>
      <c r="F11" s="599">
        <v>41.521</v>
      </c>
      <c r="G11" s="599">
        <v>30.101</v>
      </c>
      <c r="H11" s="599">
        <v>18.27</v>
      </c>
      <c r="I11" s="599">
        <v>26.154999999999998</v>
      </c>
      <c r="J11" s="599">
        <v>22.348000000000003</v>
      </c>
      <c r="K11" s="599">
        <v>23.580000000000002</v>
      </c>
      <c r="L11" s="599">
        <v>24.906999999999996</v>
      </c>
      <c r="M11" s="599">
        <v>27.174</v>
      </c>
      <c r="N11" s="599">
        <v>33.536</v>
      </c>
      <c r="O11" s="599">
        <v>37.602000000000004</v>
      </c>
      <c r="P11" s="599">
        <v>40.192</v>
      </c>
      <c r="Q11" s="599">
        <v>37.62</v>
      </c>
      <c r="R11" s="600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76"/>
    </row>
    <row r="12" spans="2:34" s="26" customFormat="1" ht="19.5" customHeight="1">
      <c r="B12" s="594"/>
      <c r="C12" s="595"/>
      <c r="D12" s="595" t="s">
        <v>190</v>
      </c>
      <c r="E12" s="596">
        <f t="shared" si="2"/>
        <v>81.60925</v>
      </c>
      <c r="F12" s="599">
        <v>10.3213</v>
      </c>
      <c r="G12" s="599">
        <v>0.1264</v>
      </c>
      <c r="H12" s="599">
        <v>0.76675</v>
      </c>
      <c r="I12" s="599">
        <v>1.5654000000000001</v>
      </c>
      <c r="J12" s="599">
        <v>5.905000000000001</v>
      </c>
      <c r="K12" s="599">
        <v>7.382</v>
      </c>
      <c r="L12" s="599">
        <v>10.117700000000001</v>
      </c>
      <c r="M12" s="599">
        <v>10.2115</v>
      </c>
      <c r="N12" s="599" t="s">
        <v>21</v>
      </c>
      <c r="O12" s="599">
        <v>8.3966</v>
      </c>
      <c r="P12" s="599">
        <v>9.0221</v>
      </c>
      <c r="Q12" s="599">
        <v>17.7945</v>
      </c>
      <c r="R12" s="600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76"/>
    </row>
    <row r="13" spans="2:34" s="26" customFormat="1" ht="19.5" customHeight="1">
      <c r="B13" s="594"/>
      <c r="C13" s="595"/>
      <c r="D13" s="595" t="s">
        <v>247</v>
      </c>
      <c r="E13" s="596">
        <f t="shared" si="2"/>
        <v>156.5455</v>
      </c>
      <c r="F13" s="441">
        <v>14.049000000000001</v>
      </c>
      <c r="G13" s="441">
        <v>16.151</v>
      </c>
      <c r="H13" s="441">
        <v>18.13</v>
      </c>
      <c r="I13" s="441">
        <v>10.049</v>
      </c>
      <c r="J13" s="441">
        <v>10.825</v>
      </c>
      <c r="K13" s="441">
        <v>12.3695</v>
      </c>
      <c r="L13" s="441">
        <v>12.841</v>
      </c>
      <c r="M13" s="441">
        <v>12.925999999999998</v>
      </c>
      <c r="N13" s="441">
        <v>10.9495</v>
      </c>
      <c r="O13" s="441">
        <v>12.330000000000002</v>
      </c>
      <c r="P13" s="441">
        <v>13.3635</v>
      </c>
      <c r="Q13" s="441">
        <v>12.562</v>
      </c>
      <c r="R13" s="600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76"/>
    </row>
    <row r="14" spans="2:34" s="26" customFormat="1" ht="19.5" customHeight="1">
      <c r="B14" s="594"/>
      <c r="C14" s="595"/>
      <c r="D14" s="595" t="s">
        <v>191</v>
      </c>
      <c r="E14" s="596">
        <f t="shared" si="2"/>
        <v>95.55000000000001</v>
      </c>
      <c r="F14" s="441">
        <v>8.45</v>
      </c>
      <c r="G14" s="441">
        <v>8.612</v>
      </c>
      <c r="H14" s="441">
        <v>8.941</v>
      </c>
      <c r="I14" s="599" t="s">
        <v>21</v>
      </c>
      <c r="J14" s="599" t="s">
        <v>21</v>
      </c>
      <c r="K14" s="599" t="s">
        <v>21</v>
      </c>
      <c r="L14" s="441">
        <v>6.5</v>
      </c>
      <c r="M14" s="441">
        <v>10.952</v>
      </c>
      <c r="N14" s="441">
        <v>12.865</v>
      </c>
      <c r="O14" s="441">
        <v>12.288</v>
      </c>
      <c r="P14" s="441">
        <v>13.387</v>
      </c>
      <c r="Q14" s="441">
        <v>13.555</v>
      </c>
      <c r="R14" s="600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76"/>
    </row>
    <row r="15" spans="2:34" s="26" customFormat="1" ht="19.5" customHeight="1">
      <c r="B15" s="594"/>
      <c r="C15" s="595"/>
      <c r="D15" s="595" t="s">
        <v>192</v>
      </c>
      <c r="E15" s="596">
        <f t="shared" si="2"/>
        <v>780.8100000000002</v>
      </c>
      <c r="F15" s="441">
        <v>30.600000000000012</v>
      </c>
      <c r="G15" s="441">
        <v>37.63000000000001</v>
      </c>
      <c r="H15" s="441">
        <v>47.26</v>
      </c>
      <c r="I15" s="441">
        <v>56.83</v>
      </c>
      <c r="J15" s="441">
        <v>61.89000000000003</v>
      </c>
      <c r="K15" s="441">
        <v>74.97999999999999</v>
      </c>
      <c r="L15" s="441">
        <v>63.670000000000066</v>
      </c>
      <c r="M15" s="441">
        <v>65.74000000000001</v>
      </c>
      <c r="N15" s="441">
        <v>77.2</v>
      </c>
      <c r="O15" s="441">
        <v>82.58000000000006</v>
      </c>
      <c r="P15" s="441">
        <v>86.05999999999996</v>
      </c>
      <c r="Q15" s="441">
        <v>96.37000000000003</v>
      </c>
      <c r="R15" s="600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76"/>
    </row>
    <row r="16" spans="2:34" s="26" customFormat="1" ht="19.5" customHeight="1">
      <c r="B16" s="594"/>
      <c r="C16" s="595"/>
      <c r="D16" s="595" t="s">
        <v>193</v>
      </c>
      <c r="E16" s="596">
        <f t="shared" si="2"/>
        <v>181.78359999999998</v>
      </c>
      <c r="F16" s="599">
        <v>12.316</v>
      </c>
      <c r="G16" s="599">
        <v>13.2857</v>
      </c>
      <c r="H16" s="599">
        <v>0</v>
      </c>
      <c r="I16" s="599">
        <v>13.113</v>
      </c>
      <c r="J16" s="599">
        <v>13.53</v>
      </c>
      <c r="K16" s="599">
        <v>15.34002</v>
      </c>
      <c r="L16" s="599">
        <v>24.11338</v>
      </c>
      <c r="M16" s="599">
        <v>22.996</v>
      </c>
      <c r="N16" s="599">
        <v>15.8025</v>
      </c>
      <c r="O16" s="599">
        <v>19.195</v>
      </c>
      <c r="P16" s="599">
        <v>18.607</v>
      </c>
      <c r="Q16" s="599">
        <v>13.485</v>
      </c>
      <c r="R16" s="600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76"/>
    </row>
    <row r="17" spans="2:34" s="26" customFormat="1" ht="19.5" customHeight="1">
      <c r="B17" s="594"/>
      <c r="C17" s="595"/>
      <c r="D17" s="595" t="s">
        <v>194</v>
      </c>
      <c r="E17" s="596">
        <f t="shared" si="2"/>
        <v>841.3160814736642</v>
      </c>
      <c r="F17" s="441">
        <v>86.57450944320453</v>
      </c>
      <c r="G17" s="441">
        <v>94.94615537170375</v>
      </c>
      <c r="H17" s="441">
        <v>77.90544581113029</v>
      </c>
      <c r="I17" s="441">
        <v>88.59111714091115</v>
      </c>
      <c r="J17" s="441">
        <v>82.24086377244568</v>
      </c>
      <c r="K17" s="441">
        <v>57.2239767895113</v>
      </c>
      <c r="L17" s="441">
        <v>50.56336896293454</v>
      </c>
      <c r="M17" s="441">
        <v>10.310886467453688</v>
      </c>
      <c r="N17" s="441">
        <v>9.881266197976448</v>
      </c>
      <c r="O17" s="441">
        <v>106.07324453392982</v>
      </c>
      <c r="P17" s="441">
        <v>101.40866197976452</v>
      </c>
      <c r="Q17" s="441">
        <v>75.59658500269857</v>
      </c>
      <c r="R17" s="600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76"/>
    </row>
    <row r="18" spans="2:34" s="26" customFormat="1" ht="19.5" customHeight="1">
      <c r="B18" s="594"/>
      <c r="C18" s="595"/>
      <c r="D18" s="595" t="s">
        <v>195</v>
      </c>
      <c r="E18" s="596">
        <f t="shared" si="2"/>
        <v>2053.128615</v>
      </c>
      <c r="F18" s="441">
        <v>268.37388000000004</v>
      </c>
      <c r="G18" s="441">
        <v>272.0669499999999</v>
      </c>
      <c r="H18" s="441">
        <v>128.34444999999997</v>
      </c>
      <c r="I18" s="441">
        <v>176.82787</v>
      </c>
      <c r="J18" s="441">
        <v>133.260015</v>
      </c>
      <c r="K18" s="441">
        <v>166.59232000000003</v>
      </c>
      <c r="L18" s="441">
        <v>144.19306</v>
      </c>
      <c r="M18" s="441">
        <v>129.93432</v>
      </c>
      <c r="N18" s="441">
        <v>133.16655000000003</v>
      </c>
      <c r="O18" s="441">
        <v>106.62232</v>
      </c>
      <c r="P18" s="441">
        <v>143.75031</v>
      </c>
      <c r="Q18" s="441">
        <v>249.99657000000008</v>
      </c>
      <c r="R18" s="600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76"/>
    </row>
    <row r="19" spans="2:34" s="26" customFormat="1" ht="19.5" customHeight="1">
      <c r="B19" s="594"/>
      <c r="C19" s="595"/>
      <c r="D19" s="595" t="s">
        <v>244</v>
      </c>
      <c r="E19" s="596">
        <f t="shared" si="2"/>
        <v>294.40500000000003</v>
      </c>
      <c r="F19" s="441">
        <v>17.717793282334053</v>
      </c>
      <c r="G19" s="441">
        <v>21.261346661404584</v>
      </c>
      <c r="H19" s="441">
        <v>27.23669684156148</v>
      </c>
      <c r="I19" s="441">
        <v>26.577299697505374</v>
      </c>
      <c r="J19" s="441">
        <v>24.804439119026974</v>
      </c>
      <c r="K19" s="441">
        <v>29.008846661404583</v>
      </c>
      <c r="L19" s="441">
        <v>28.348867311333382</v>
      </c>
      <c r="M19" s="441">
        <v>19.489196841561473</v>
      </c>
      <c r="N19" s="441">
        <v>31.376565440263374</v>
      </c>
      <c r="O19" s="441">
        <v>21.261346661404584</v>
      </c>
      <c r="P19" s="441">
        <v>17.717793282334053</v>
      </c>
      <c r="Q19" s="441">
        <v>29.60480819986612</v>
      </c>
      <c r="R19" s="600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76"/>
    </row>
    <row r="20" spans="2:34" s="26" customFormat="1" ht="19.5" customHeight="1">
      <c r="B20" s="594"/>
      <c r="C20" s="595"/>
      <c r="D20" s="601" t="s">
        <v>245</v>
      </c>
      <c r="E20" s="596">
        <f t="shared" si="2"/>
        <v>3000.0849999999987</v>
      </c>
      <c r="F20" s="441">
        <v>189.94999999999987</v>
      </c>
      <c r="G20" s="441">
        <v>219.97</v>
      </c>
      <c r="H20" s="441">
        <v>278.8199999999999</v>
      </c>
      <c r="I20" s="441">
        <v>390.87999999999994</v>
      </c>
      <c r="J20" s="441">
        <v>293.61699999999985</v>
      </c>
      <c r="K20" s="441">
        <v>283.7299999999999</v>
      </c>
      <c r="L20" s="441">
        <v>363.52</v>
      </c>
      <c r="M20" s="441">
        <v>254.17999999999978</v>
      </c>
      <c r="N20" s="441">
        <v>241.57499999999985</v>
      </c>
      <c r="O20" s="441">
        <v>192.624</v>
      </c>
      <c r="P20" s="441">
        <v>160.46999999999997</v>
      </c>
      <c r="Q20" s="441">
        <v>130.74899999999997</v>
      </c>
      <c r="R20" s="600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76"/>
    </row>
    <row r="21" spans="2:34" s="26" customFormat="1" ht="19.5" customHeight="1">
      <c r="B21" s="594"/>
      <c r="C21" s="595"/>
      <c r="D21" s="595" t="s">
        <v>197</v>
      </c>
      <c r="E21" s="596">
        <f t="shared" si="2"/>
        <v>138.39815000000002</v>
      </c>
      <c r="F21" s="441">
        <v>9.91575</v>
      </c>
      <c r="G21" s="441">
        <v>9.0756</v>
      </c>
      <c r="H21" s="441">
        <v>13.575000000000001</v>
      </c>
      <c r="I21" s="441">
        <v>11.6109</v>
      </c>
      <c r="J21" s="441">
        <v>18.402</v>
      </c>
      <c r="K21" s="441">
        <v>36.1369</v>
      </c>
      <c r="L21" s="441">
        <v>4.8580000000000005</v>
      </c>
      <c r="M21" s="441">
        <v>4.1259999999999994</v>
      </c>
      <c r="N21" s="599" t="s">
        <v>21</v>
      </c>
      <c r="O21" s="441">
        <v>15.248999999999999</v>
      </c>
      <c r="P21" s="441">
        <v>7.3965</v>
      </c>
      <c r="Q21" s="441">
        <v>8.0525</v>
      </c>
      <c r="R21" s="600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76"/>
    </row>
    <row r="22" spans="2:35" s="26" customFormat="1" ht="19.5" customHeight="1">
      <c r="B22" s="594"/>
      <c r="C22" s="595"/>
      <c r="D22" s="595" t="s">
        <v>199</v>
      </c>
      <c r="E22" s="596">
        <f t="shared" si="2"/>
        <v>679.5167019226495</v>
      </c>
      <c r="F22" s="441">
        <v>49.6709301602208</v>
      </c>
      <c r="G22" s="441">
        <v>54.9572401602208</v>
      </c>
      <c r="H22" s="441">
        <v>68.0226101602208</v>
      </c>
      <c r="I22" s="441">
        <v>64.1295501602208</v>
      </c>
      <c r="J22" s="441">
        <v>55.291420160220795</v>
      </c>
      <c r="K22" s="441">
        <v>66.85270016022079</v>
      </c>
      <c r="L22" s="441">
        <v>61.1294501602208</v>
      </c>
      <c r="M22" s="441">
        <v>48.520600160220795</v>
      </c>
      <c r="N22" s="441">
        <v>46.4305401602208</v>
      </c>
      <c r="O22" s="441">
        <v>45.620940160220805</v>
      </c>
      <c r="P22" s="441">
        <v>55.9031401602208</v>
      </c>
      <c r="Q22" s="441">
        <v>62.9875801602208</v>
      </c>
      <c r="R22" s="600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76"/>
      <c r="AI22" s="452"/>
    </row>
    <row r="23" spans="2:34" s="26" customFormat="1" ht="19.5" customHeight="1">
      <c r="B23" s="594"/>
      <c r="C23" s="595"/>
      <c r="D23" s="595" t="s">
        <v>201</v>
      </c>
      <c r="E23" s="596">
        <f t="shared" si="2"/>
        <v>0</v>
      </c>
      <c r="F23" s="599" t="s">
        <v>21</v>
      </c>
      <c r="G23" s="599" t="s">
        <v>21</v>
      </c>
      <c r="H23" s="599" t="s">
        <v>21</v>
      </c>
      <c r="I23" s="599" t="s">
        <v>21</v>
      </c>
      <c r="J23" s="599" t="s">
        <v>21</v>
      </c>
      <c r="K23" s="599" t="s">
        <v>21</v>
      </c>
      <c r="L23" s="599" t="s">
        <v>21</v>
      </c>
      <c r="M23" s="599" t="s">
        <v>21</v>
      </c>
      <c r="N23" s="599" t="s">
        <v>21</v>
      </c>
      <c r="O23" s="599" t="s">
        <v>21</v>
      </c>
      <c r="P23" s="599" t="s">
        <v>21</v>
      </c>
      <c r="Q23" s="599" t="s">
        <v>21</v>
      </c>
      <c r="R23" s="600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76"/>
    </row>
    <row r="24" spans="2:34" s="26" customFormat="1" ht="19.5" customHeight="1">
      <c r="B24" s="594"/>
      <c r="C24" s="595"/>
      <c r="D24" s="595" t="s">
        <v>202</v>
      </c>
      <c r="E24" s="596">
        <f t="shared" si="2"/>
        <v>1654.8992899999998</v>
      </c>
      <c r="F24" s="441">
        <v>28.587999999999997</v>
      </c>
      <c r="G24" s="441">
        <v>32.923</v>
      </c>
      <c r="H24" s="441">
        <v>242.66523999999995</v>
      </c>
      <c r="I24" s="441">
        <v>182.54377999999997</v>
      </c>
      <c r="J24" s="441">
        <v>163.87671</v>
      </c>
      <c r="K24" s="441">
        <v>155.35208999999992</v>
      </c>
      <c r="L24" s="441">
        <v>257.62691</v>
      </c>
      <c r="M24" s="441">
        <v>254.19086999999996</v>
      </c>
      <c r="N24" s="441">
        <v>90.83011</v>
      </c>
      <c r="O24" s="441">
        <v>139.55051</v>
      </c>
      <c r="P24" s="441">
        <v>79.75007000000001</v>
      </c>
      <c r="Q24" s="441">
        <v>27.001999999999995</v>
      </c>
      <c r="R24" s="600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76"/>
    </row>
    <row r="25" spans="2:34" s="26" customFormat="1" ht="19.5" customHeight="1">
      <c r="B25" s="594"/>
      <c r="C25" s="595"/>
      <c r="D25" s="601" t="s">
        <v>204</v>
      </c>
      <c r="E25" s="596">
        <f t="shared" si="2"/>
        <v>48208.69112763053</v>
      </c>
      <c r="F25" s="599">
        <v>3199.2368800000004</v>
      </c>
      <c r="G25" s="599">
        <v>4715.918919999999</v>
      </c>
      <c r="H25" s="599">
        <v>4554.6508699999995</v>
      </c>
      <c r="I25" s="599">
        <v>4915.342239999998</v>
      </c>
      <c r="J25" s="599">
        <v>3927.3779699999996</v>
      </c>
      <c r="K25" s="599">
        <v>2658.32743</v>
      </c>
      <c r="L25" s="599">
        <v>3608.28898</v>
      </c>
      <c r="M25" s="599">
        <v>3701.7160599999997</v>
      </c>
      <c r="N25" s="599">
        <v>4280.4713600000005</v>
      </c>
      <c r="O25" s="599">
        <v>3669.500296</v>
      </c>
      <c r="P25" s="599">
        <v>4362.618591630535</v>
      </c>
      <c r="Q25" s="599">
        <v>4615.241530000001</v>
      </c>
      <c r="R25" s="600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76"/>
    </row>
    <row r="26" spans="2:46" s="26" customFormat="1" ht="19.5" customHeight="1">
      <c r="B26" s="594"/>
      <c r="C26" s="595"/>
      <c r="D26" s="601" t="s">
        <v>248</v>
      </c>
      <c r="E26" s="596">
        <f t="shared" si="2"/>
        <v>8.000000000000002</v>
      </c>
      <c r="F26" s="599">
        <v>0.42</v>
      </c>
      <c r="G26" s="599">
        <v>0.4</v>
      </c>
      <c r="H26" s="599">
        <v>0.88</v>
      </c>
      <c r="I26" s="599">
        <v>0.7</v>
      </c>
      <c r="J26" s="599">
        <v>0.7</v>
      </c>
      <c r="K26" s="599">
        <v>0.7</v>
      </c>
      <c r="L26" s="599">
        <v>0.75</v>
      </c>
      <c r="M26" s="599">
        <v>0.75</v>
      </c>
      <c r="N26" s="599">
        <v>0.75</v>
      </c>
      <c r="O26" s="599">
        <v>0.7</v>
      </c>
      <c r="P26" s="599">
        <v>0.7</v>
      </c>
      <c r="Q26" s="599">
        <v>0.55</v>
      </c>
      <c r="R26" s="600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</row>
    <row r="27" spans="2:34" s="26" customFormat="1" ht="19.5" customHeight="1">
      <c r="B27" s="594"/>
      <c r="C27" s="595"/>
      <c r="D27" s="595" t="s">
        <v>205</v>
      </c>
      <c r="E27" s="596">
        <f t="shared" si="2"/>
        <v>36.8065</v>
      </c>
      <c r="F27" s="599" t="s">
        <v>21</v>
      </c>
      <c r="G27" s="599" t="s">
        <v>21</v>
      </c>
      <c r="H27" s="599">
        <v>3.63</v>
      </c>
      <c r="I27" s="599">
        <v>4.369</v>
      </c>
      <c r="J27" s="599">
        <v>3.577</v>
      </c>
      <c r="K27" s="599">
        <v>4.016</v>
      </c>
      <c r="L27" s="599">
        <v>5.6165</v>
      </c>
      <c r="M27" s="599">
        <v>5.338</v>
      </c>
      <c r="N27" s="599">
        <v>4.024</v>
      </c>
      <c r="O27" s="599">
        <v>4.003</v>
      </c>
      <c r="P27" s="599">
        <v>2.233</v>
      </c>
      <c r="Q27" s="599" t="s">
        <v>21</v>
      </c>
      <c r="R27" s="600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76"/>
    </row>
    <row r="28" spans="2:35" s="26" customFormat="1" ht="15" customHeight="1">
      <c r="B28" s="594"/>
      <c r="C28" s="595"/>
      <c r="D28" s="595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600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76"/>
      <c r="AI28" s="347"/>
    </row>
    <row r="29" spans="2:34" s="26" customFormat="1" ht="19.5" customHeight="1">
      <c r="B29" s="591"/>
      <c r="C29" s="592" t="s">
        <v>151</v>
      </c>
      <c r="D29" s="592"/>
      <c r="E29" s="587">
        <f>+E31+E32+E33</f>
        <v>5943.221592369466</v>
      </c>
      <c r="F29" s="587">
        <f aca="true" t="shared" si="3" ref="F29:Q29">SUM(F31:F33)</f>
        <v>371.03400999999997</v>
      </c>
      <c r="G29" s="587">
        <f t="shared" si="3"/>
        <v>356.23559</v>
      </c>
      <c r="H29" s="587">
        <f t="shared" si="3"/>
        <v>372.11228</v>
      </c>
      <c r="I29" s="587">
        <f t="shared" si="3"/>
        <v>414.06129000000004</v>
      </c>
      <c r="J29" s="587">
        <f t="shared" si="3"/>
        <v>556.4105099999999</v>
      </c>
      <c r="K29" s="587">
        <f t="shared" si="3"/>
        <v>490.46822</v>
      </c>
      <c r="L29" s="587">
        <f t="shared" si="3"/>
        <v>445.15612999999996</v>
      </c>
      <c r="M29" s="587">
        <f t="shared" si="3"/>
        <v>460.85531999999995</v>
      </c>
      <c r="N29" s="587">
        <f t="shared" si="3"/>
        <v>442.71407999999997</v>
      </c>
      <c r="O29" s="587">
        <f t="shared" si="3"/>
        <v>555.747034</v>
      </c>
      <c r="P29" s="587">
        <f t="shared" si="3"/>
        <v>795.098288369466</v>
      </c>
      <c r="Q29" s="587">
        <f t="shared" si="3"/>
        <v>683.3288400000001</v>
      </c>
      <c r="R29" s="593"/>
      <c r="S29" s="568"/>
      <c r="T29" s="568"/>
      <c r="U29" s="568"/>
      <c r="V29" s="568"/>
      <c r="W29" s="568"/>
      <c r="X29" s="568"/>
      <c r="Y29" s="568"/>
      <c r="Z29" s="568"/>
      <c r="AA29" s="568"/>
      <c r="AB29" s="568"/>
      <c r="AC29" s="568"/>
      <c r="AD29" s="568"/>
      <c r="AE29" s="568"/>
      <c r="AF29" s="568"/>
      <c r="AG29" s="568"/>
      <c r="AH29" s="76"/>
    </row>
    <row r="30" spans="2:34" s="26" customFormat="1" ht="9" customHeight="1">
      <c r="B30" s="594"/>
      <c r="C30" s="595"/>
      <c r="D30" s="595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600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76"/>
    </row>
    <row r="31" spans="2:34" s="26" customFormat="1" ht="19.5" customHeight="1">
      <c r="B31" s="594"/>
      <c r="C31" s="595"/>
      <c r="D31" s="595" t="s">
        <v>195</v>
      </c>
      <c r="E31" s="596">
        <f>SUM(F31:Q31)</f>
        <v>2058.65699</v>
      </c>
      <c r="F31" s="599">
        <v>184.65760999999998</v>
      </c>
      <c r="G31" s="599">
        <v>181.33954</v>
      </c>
      <c r="H31" s="599">
        <v>83.87579</v>
      </c>
      <c r="I31" s="599">
        <v>170.16603</v>
      </c>
      <c r="J31" s="599">
        <v>134.24644</v>
      </c>
      <c r="K31" s="599">
        <v>161.85408999999999</v>
      </c>
      <c r="L31" s="599">
        <v>140.58481</v>
      </c>
      <c r="M31" s="599">
        <v>232.97077</v>
      </c>
      <c r="N31" s="599">
        <v>171.53994</v>
      </c>
      <c r="O31" s="599">
        <v>184.1941</v>
      </c>
      <c r="P31" s="599">
        <v>220.69767000000002</v>
      </c>
      <c r="Q31" s="599">
        <v>192.5302</v>
      </c>
      <c r="R31" s="600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76"/>
    </row>
    <row r="32" spans="2:34" s="26" customFormat="1" ht="19.5" customHeight="1">
      <c r="B32" s="594"/>
      <c r="C32" s="595"/>
      <c r="D32" s="601" t="s">
        <v>202</v>
      </c>
      <c r="E32" s="596">
        <f>SUM(F32:Q32)</f>
        <v>1144.6958099999997</v>
      </c>
      <c r="F32" s="599" t="s">
        <v>21</v>
      </c>
      <c r="G32" s="599">
        <v>0</v>
      </c>
      <c r="H32" s="599">
        <v>87.17367</v>
      </c>
      <c r="I32" s="599">
        <v>67.54521000000001</v>
      </c>
      <c r="J32" s="599">
        <v>200.63006</v>
      </c>
      <c r="K32" s="599">
        <v>96.06329</v>
      </c>
      <c r="L32" s="599">
        <v>68.4357</v>
      </c>
      <c r="M32" s="599">
        <v>1.0454</v>
      </c>
      <c r="N32" s="599">
        <v>86.64828999999999</v>
      </c>
      <c r="O32" s="599">
        <v>96.75844000000001</v>
      </c>
      <c r="P32" s="599">
        <v>181.1948</v>
      </c>
      <c r="Q32" s="599">
        <v>259.20095000000003</v>
      </c>
      <c r="R32" s="600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76"/>
    </row>
    <row r="33" spans="2:34" s="26" customFormat="1" ht="19.5" customHeight="1">
      <c r="B33" s="594"/>
      <c r="C33" s="595"/>
      <c r="D33" s="601" t="s">
        <v>259</v>
      </c>
      <c r="E33" s="596">
        <f>SUM(F33:Q33)</f>
        <v>2739.8687923694665</v>
      </c>
      <c r="F33" s="599">
        <v>186.37640000000002</v>
      </c>
      <c r="G33" s="599">
        <v>174.89605</v>
      </c>
      <c r="H33" s="599">
        <v>201.06282</v>
      </c>
      <c r="I33" s="599">
        <v>176.35005</v>
      </c>
      <c r="J33" s="599">
        <v>221.53401000000002</v>
      </c>
      <c r="K33" s="599">
        <v>232.55084</v>
      </c>
      <c r="L33" s="599">
        <v>236.13562</v>
      </c>
      <c r="M33" s="599">
        <v>226.83914999999996</v>
      </c>
      <c r="N33" s="599">
        <v>184.52585</v>
      </c>
      <c r="O33" s="599">
        <v>274.794494</v>
      </c>
      <c r="P33" s="599">
        <v>393.205818369466</v>
      </c>
      <c r="Q33" s="599">
        <v>231.59769000000003</v>
      </c>
      <c r="R33" s="600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76"/>
    </row>
    <row r="34" spans="2:34" s="26" customFormat="1" ht="15">
      <c r="B34" s="259"/>
      <c r="C34" s="260"/>
      <c r="D34" s="260"/>
      <c r="E34" s="261" t="s">
        <v>0</v>
      </c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76"/>
    </row>
    <row r="35" spans="5:34" s="26" customFormat="1" ht="1.5" customHeight="1"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S35" s="571"/>
      <c r="T35" s="571"/>
      <c r="U35" s="571"/>
      <c r="V35" s="571"/>
      <c r="W35" s="571"/>
      <c r="X35" s="571"/>
      <c r="Y35" s="571"/>
      <c r="Z35" s="571"/>
      <c r="AA35" s="571"/>
      <c r="AB35" s="571"/>
      <c r="AC35" s="571"/>
      <c r="AD35" s="571"/>
      <c r="AE35" s="571"/>
      <c r="AF35" s="571"/>
      <c r="AG35" s="571"/>
      <c r="AH35" s="76"/>
    </row>
    <row r="36" spans="2:34" s="219" customFormat="1" ht="12">
      <c r="B36" s="219" t="s">
        <v>284</v>
      </c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  <c r="AC36" s="572"/>
      <c r="AD36" s="572"/>
      <c r="AE36" s="572"/>
      <c r="AF36" s="572"/>
      <c r="AG36" s="572"/>
      <c r="AH36" s="263"/>
    </row>
    <row r="37" spans="2:34" s="219" customFormat="1" ht="12">
      <c r="B37" s="44" t="s">
        <v>253</v>
      </c>
      <c r="C37" s="45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  <c r="AC37" s="572"/>
      <c r="AD37" s="572"/>
      <c r="AE37" s="572"/>
      <c r="AF37" s="572"/>
      <c r="AG37" s="572"/>
      <c r="AH37" s="263"/>
    </row>
    <row r="38" spans="2:34" s="246" customFormat="1" ht="12">
      <c r="B38" s="244"/>
      <c r="C38" s="245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S38" s="573"/>
      <c r="T38" s="573"/>
      <c r="U38" s="573"/>
      <c r="V38" s="573"/>
      <c r="W38" s="573"/>
      <c r="X38" s="573"/>
      <c r="Y38" s="573"/>
      <c r="Z38" s="573"/>
      <c r="AA38" s="573"/>
      <c r="AB38" s="573"/>
      <c r="AC38" s="573"/>
      <c r="AD38" s="573"/>
      <c r="AE38" s="573"/>
      <c r="AF38" s="573"/>
      <c r="AG38" s="573"/>
      <c r="AH38" s="247"/>
    </row>
    <row r="39" spans="2:34" s="246" customFormat="1" ht="12">
      <c r="B39" s="244"/>
      <c r="C39" s="245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73"/>
      <c r="AF39" s="573"/>
      <c r="AG39" s="573"/>
      <c r="AH39" s="247"/>
    </row>
    <row r="40" spans="2:34" s="246" customFormat="1" ht="12.75">
      <c r="B40" s="244"/>
      <c r="C40" s="245"/>
      <c r="D40" s="248">
        <v>0</v>
      </c>
      <c r="E40" s="248">
        <v>1</v>
      </c>
      <c r="F40" s="248">
        <v>2</v>
      </c>
      <c r="G40" s="248">
        <v>3</v>
      </c>
      <c r="H40" s="248">
        <v>4</v>
      </c>
      <c r="I40" s="248">
        <v>5</v>
      </c>
      <c r="J40" s="248">
        <v>6</v>
      </c>
      <c r="K40" s="248">
        <v>7</v>
      </c>
      <c r="L40" s="248">
        <v>8</v>
      </c>
      <c r="M40" s="248">
        <v>9</v>
      </c>
      <c r="N40" s="247"/>
      <c r="O40" s="247"/>
      <c r="P40" s="247"/>
      <c r="Q40" s="247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247"/>
    </row>
    <row r="41" spans="2:34" s="246" customFormat="1" ht="12.75">
      <c r="B41" s="244"/>
      <c r="C41" s="245"/>
      <c r="D41" s="248">
        <v>1</v>
      </c>
      <c r="E41" s="511"/>
      <c r="F41" s="511"/>
      <c r="G41" s="511"/>
      <c r="H41" s="511"/>
      <c r="I41" s="511"/>
      <c r="J41" s="511"/>
      <c r="K41" s="511"/>
      <c r="L41" s="511"/>
      <c r="M41" s="511"/>
      <c r="N41" s="247"/>
      <c r="O41" s="247"/>
      <c r="P41" s="247"/>
      <c r="Q41" s="247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247"/>
    </row>
    <row r="42" spans="2:49" s="246" customFormat="1" ht="12.75">
      <c r="B42" s="244"/>
      <c r="C42" s="245"/>
      <c r="D42" s="248">
        <v>2</v>
      </c>
      <c r="E42" s="511"/>
      <c r="F42" s="511"/>
      <c r="G42" s="511"/>
      <c r="H42" s="511"/>
      <c r="I42" s="511"/>
      <c r="J42" s="511"/>
      <c r="K42" s="511"/>
      <c r="L42" s="511"/>
      <c r="M42" s="511"/>
      <c r="N42" s="247"/>
      <c r="O42" s="247"/>
      <c r="P42" s="247"/>
      <c r="Q42" s="247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247"/>
      <c r="AK42" s="300" t="s">
        <v>2</v>
      </c>
      <c r="AL42" s="300" t="s">
        <v>3</v>
      </c>
      <c r="AM42" s="300" t="s">
        <v>4</v>
      </c>
      <c r="AN42" s="300" t="s">
        <v>5</v>
      </c>
      <c r="AO42" s="300" t="s">
        <v>6</v>
      </c>
      <c r="AP42" s="300" t="s">
        <v>7</v>
      </c>
      <c r="AQ42" s="300" t="s">
        <v>8</v>
      </c>
      <c r="AR42" s="300" t="s">
        <v>9</v>
      </c>
      <c r="AS42" s="300" t="s">
        <v>10</v>
      </c>
      <c r="AT42" s="300" t="s">
        <v>11</v>
      </c>
      <c r="AU42" s="300" t="s">
        <v>12</v>
      </c>
      <c r="AV42" s="301" t="s">
        <v>13</v>
      </c>
      <c r="AW42" s="301"/>
    </row>
    <row r="43" spans="2:48" s="246" customFormat="1" ht="12.75">
      <c r="B43" s="244"/>
      <c r="C43" s="245"/>
      <c r="D43" s="248">
        <v>3</v>
      </c>
      <c r="E43" s="511"/>
      <c r="F43" s="511"/>
      <c r="G43" s="511"/>
      <c r="H43" s="511"/>
      <c r="I43" s="511"/>
      <c r="J43" s="511"/>
      <c r="K43" s="511"/>
      <c r="L43" s="511"/>
      <c r="M43" s="511"/>
      <c r="N43" s="247"/>
      <c r="O43" s="247"/>
      <c r="P43" s="247"/>
      <c r="Q43" s="247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247"/>
      <c r="AJ43" s="246" t="s">
        <v>152</v>
      </c>
      <c r="AK43" s="430">
        <v>3967.7050428857597</v>
      </c>
      <c r="AL43" s="430">
        <v>5527.425312193328</v>
      </c>
      <c r="AM43" s="430">
        <v>5489.098062812912</v>
      </c>
      <c r="AN43" s="430">
        <v>5969.284156998635</v>
      </c>
      <c r="AO43" s="430">
        <v>4817.645418051693</v>
      </c>
      <c r="AP43" s="430">
        <v>3591.591783611136</v>
      </c>
      <c r="AQ43" s="430">
        <v>4667.044216434489</v>
      </c>
      <c r="AR43" s="430">
        <v>4578.555433469235</v>
      </c>
      <c r="AS43" s="430">
        <v>4988.8583917984615</v>
      </c>
      <c r="AT43" s="430">
        <v>4473.596257355555</v>
      </c>
      <c r="AU43" s="430">
        <v>5112.579667052854</v>
      </c>
      <c r="AV43" s="430">
        <v>5391.167073362787</v>
      </c>
    </row>
    <row r="44" spans="2:48" s="246" customFormat="1" ht="12.75">
      <c r="B44" s="244"/>
      <c r="C44" s="245"/>
      <c r="D44" s="248">
        <v>4</v>
      </c>
      <c r="E44" s="511"/>
      <c r="F44" s="511"/>
      <c r="G44" s="511"/>
      <c r="H44" s="511"/>
      <c r="I44" s="511"/>
      <c r="J44" s="511"/>
      <c r="K44" s="511"/>
      <c r="L44" s="511"/>
      <c r="M44" s="511"/>
      <c r="N44" s="247"/>
      <c r="O44" s="247"/>
      <c r="P44" s="247"/>
      <c r="Q44" s="247"/>
      <c r="S44" s="573"/>
      <c r="T44" s="573"/>
      <c r="U44" s="573"/>
      <c r="V44" s="573"/>
      <c r="W44" s="573"/>
      <c r="X44" s="573"/>
      <c r="Y44" s="573"/>
      <c r="Z44" s="573"/>
      <c r="AA44" s="573"/>
      <c r="AB44" s="573"/>
      <c r="AC44" s="573"/>
      <c r="AD44" s="573"/>
      <c r="AE44" s="573"/>
      <c r="AF44" s="573"/>
      <c r="AG44" s="573"/>
      <c r="AH44" s="247"/>
      <c r="AJ44" s="246" t="s">
        <v>151</v>
      </c>
      <c r="AK44" s="430">
        <v>371.03400999999997</v>
      </c>
      <c r="AL44" s="430">
        <v>356.23559</v>
      </c>
      <c r="AM44" s="430">
        <v>372.11228</v>
      </c>
      <c r="AN44" s="430">
        <v>414.06129000000004</v>
      </c>
      <c r="AO44" s="430">
        <v>556.4105099999999</v>
      </c>
      <c r="AP44" s="430">
        <v>490.46822</v>
      </c>
      <c r="AQ44" s="430">
        <v>445.15612999999996</v>
      </c>
      <c r="AR44" s="430">
        <v>460.85531999999995</v>
      </c>
      <c r="AS44" s="430">
        <v>442.71407999999997</v>
      </c>
      <c r="AT44" s="430">
        <v>555.747034</v>
      </c>
      <c r="AU44" s="430">
        <v>795.098288369466</v>
      </c>
      <c r="AV44" s="430">
        <v>683.3288400000001</v>
      </c>
    </row>
    <row r="45" spans="2:48" s="246" customFormat="1" ht="12.75">
      <c r="B45" s="244"/>
      <c r="C45" s="245"/>
      <c r="D45" s="248">
        <v>5</v>
      </c>
      <c r="E45" s="511"/>
      <c r="F45" s="511"/>
      <c r="G45" s="511"/>
      <c r="H45" s="511"/>
      <c r="I45" s="511"/>
      <c r="J45" s="511"/>
      <c r="K45" s="511"/>
      <c r="L45" s="511"/>
      <c r="M45" s="511"/>
      <c r="N45" s="247"/>
      <c r="O45" s="247"/>
      <c r="P45" s="247"/>
      <c r="Q45" s="247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247"/>
      <c r="AJ45" s="246" t="s">
        <v>1</v>
      </c>
      <c r="AK45" s="430">
        <v>4338.7390528857595</v>
      </c>
      <c r="AL45" s="430">
        <v>5883.660902193328</v>
      </c>
      <c r="AM45" s="430">
        <v>5861.210342812912</v>
      </c>
      <c r="AN45" s="430">
        <v>6383.3454469986345</v>
      </c>
      <c r="AO45" s="430">
        <v>5374.055928051693</v>
      </c>
      <c r="AP45" s="430">
        <v>4082.0600036111364</v>
      </c>
      <c r="AQ45" s="430">
        <v>5112.200346434489</v>
      </c>
      <c r="AR45" s="430">
        <v>5039.410753469235</v>
      </c>
      <c r="AS45" s="430">
        <v>5431.572471798461</v>
      </c>
      <c r="AT45" s="430">
        <v>5029.343291355555</v>
      </c>
      <c r="AU45" s="430">
        <v>5907.67795542232</v>
      </c>
      <c r="AV45" s="430">
        <v>6074.495913362787</v>
      </c>
    </row>
    <row r="46" spans="2:48" s="246" customFormat="1" ht="12.75">
      <c r="B46" s="244"/>
      <c r="C46" s="245"/>
      <c r="D46" s="248">
        <v>6</v>
      </c>
      <c r="E46" s="511"/>
      <c r="F46" s="511"/>
      <c r="G46" s="511"/>
      <c r="H46" s="511"/>
      <c r="I46" s="511"/>
      <c r="J46" s="511"/>
      <c r="K46" s="511"/>
      <c r="L46" s="511"/>
      <c r="M46" s="511"/>
      <c r="N46" s="247"/>
      <c r="O46" s="247"/>
      <c r="P46" s="247"/>
      <c r="Q46" s="247"/>
      <c r="S46" s="573"/>
      <c r="T46" s="573"/>
      <c r="U46" s="573"/>
      <c r="V46" s="573"/>
      <c r="W46" s="573"/>
      <c r="X46" s="573"/>
      <c r="Y46" s="573"/>
      <c r="Z46" s="573"/>
      <c r="AA46" s="573"/>
      <c r="AB46" s="573"/>
      <c r="AC46" s="573"/>
      <c r="AD46" s="573"/>
      <c r="AE46" s="573"/>
      <c r="AF46" s="573"/>
      <c r="AG46" s="573"/>
      <c r="AH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</row>
    <row r="47" spans="2:34" s="246" customFormat="1" ht="12.75">
      <c r="B47" s="244"/>
      <c r="C47" s="245"/>
      <c r="D47" s="248">
        <v>7</v>
      </c>
      <c r="E47" s="511"/>
      <c r="F47" s="511"/>
      <c r="G47" s="511"/>
      <c r="H47" s="511"/>
      <c r="I47" s="511"/>
      <c r="J47" s="511"/>
      <c r="K47" s="511"/>
      <c r="L47" s="511"/>
      <c r="M47" s="511"/>
      <c r="N47" s="247"/>
      <c r="O47" s="247"/>
      <c r="P47" s="247"/>
      <c r="Q47" s="247"/>
      <c r="S47" s="573"/>
      <c r="T47" s="573"/>
      <c r="U47" s="573"/>
      <c r="V47" s="573"/>
      <c r="W47" s="573"/>
      <c r="X47" s="573"/>
      <c r="Y47" s="573"/>
      <c r="Z47" s="573"/>
      <c r="AA47" s="573"/>
      <c r="AB47" s="573"/>
      <c r="AC47" s="573"/>
      <c r="AD47" s="573"/>
      <c r="AE47" s="573"/>
      <c r="AF47" s="573"/>
      <c r="AG47" s="573"/>
      <c r="AH47" s="247"/>
    </row>
    <row r="48" spans="2:34" s="246" customFormat="1" ht="12.75">
      <c r="B48" s="244"/>
      <c r="C48" s="245"/>
      <c r="D48" s="248">
        <v>8</v>
      </c>
      <c r="E48" s="511"/>
      <c r="F48" s="511"/>
      <c r="G48" s="511"/>
      <c r="H48" s="511"/>
      <c r="I48" s="511"/>
      <c r="J48" s="511"/>
      <c r="K48" s="511"/>
      <c r="L48" s="511"/>
      <c r="M48" s="511"/>
      <c r="N48" s="247"/>
      <c r="O48" s="247"/>
      <c r="P48" s="247"/>
      <c r="Q48" s="247"/>
      <c r="S48" s="573"/>
      <c r="T48" s="573"/>
      <c r="U48" s="573"/>
      <c r="V48" s="573"/>
      <c r="W48" s="573"/>
      <c r="X48" s="573"/>
      <c r="Y48" s="573"/>
      <c r="Z48" s="573"/>
      <c r="AA48" s="573"/>
      <c r="AB48" s="573"/>
      <c r="AC48" s="573"/>
      <c r="AD48" s="573"/>
      <c r="AE48" s="573"/>
      <c r="AF48" s="573"/>
      <c r="AG48" s="573"/>
      <c r="AH48" s="247"/>
    </row>
    <row r="49" spans="2:34" s="246" customFormat="1" ht="12.75">
      <c r="B49" s="244"/>
      <c r="C49" s="245"/>
      <c r="D49" s="248">
        <v>9</v>
      </c>
      <c r="E49" s="511"/>
      <c r="F49" s="511"/>
      <c r="G49" s="511"/>
      <c r="H49" s="511"/>
      <c r="I49" s="511"/>
      <c r="J49" s="511"/>
      <c r="K49" s="511"/>
      <c r="L49" s="511"/>
      <c r="M49" s="511"/>
      <c r="N49" s="247"/>
      <c r="O49" s="247"/>
      <c r="P49" s="247"/>
      <c r="Q49" s="247"/>
      <c r="S49" s="573"/>
      <c r="T49" s="573"/>
      <c r="U49" s="573"/>
      <c r="V49" s="573"/>
      <c r="W49" s="573"/>
      <c r="X49" s="573"/>
      <c r="Y49" s="573"/>
      <c r="Z49" s="573"/>
      <c r="AA49" s="573"/>
      <c r="AB49" s="573"/>
      <c r="AC49" s="573"/>
      <c r="AD49" s="573"/>
      <c r="AE49" s="573"/>
      <c r="AF49" s="573"/>
      <c r="AG49" s="573"/>
      <c r="AH49" s="247"/>
    </row>
    <row r="50" spans="2:34" s="246" customFormat="1" ht="12.75">
      <c r="B50" s="244"/>
      <c r="C50" s="245"/>
      <c r="D50" s="248">
        <v>10</v>
      </c>
      <c r="E50" s="511"/>
      <c r="F50" s="511"/>
      <c r="G50" s="511"/>
      <c r="H50" s="511"/>
      <c r="I50" s="511"/>
      <c r="J50" s="511"/>
      <c r="K50" s="511"/>
      <c r="L50" s="511"/>
      <c r="M50" s="511"/>
      <c r="N50" s="247"/>
      <c r="O50" s="247"/>
      <c r="P50" s="247"/>
      <c r="Q50" s="247"/>
      <c r="S50" s="573"/>
      <c r="T50" s="573"/>
      <c r="U50" s="573"/>
      <c r="V50" s="573"/>
      <c r="W50" s="573"/>
      <c r="X50" s="573"/>
      <c r="Y50" s="573"/>
      <c r="Z50" s="573"/>
      <c r="AA50" s="573"/>
      <c r="AB50" s="573"/>
      <c r="AC50" s="573"/>
      <c r="AD50" s="573"/>
      <c r="AE50" s="573"/>
      <c r="AF50" s="573"/>
      <c r="AG50" s="573"/>
      <c r="AH50" s="247"/>
    </row>
    <row r="51" spans="2:34" s="246" customFormat="1" ht="12.75">
      <c r="B51" s="244"/>
      <c r="C51" s="245"/>
      <c r="D51" s="248">
        <v>11</v>
      </c>
      <c r="E51" s="511"/>
      <c r="F51" s="511"/>
      <c r="G51" s="511"/>
      <c r="H51" s="511"/>
      <c r="I51" s="511"/>
      <c r="J51" s="511"/>
      <c r="K51" s="511"/>
      <c r="L51" s="511"/>
      <c r="M51" s="511"/>
      <c r="N51" s="247"/>
      <c r="O51" s="247"/>
      <c r="P51" s="247"/>
      <c r="Q51" s="247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247"/>
    </row>
    <row r="52" spans="2:34" s="246" customFormat="1" ht="12.75">
      <c r="B52" s="244"/>
      <c r="C52" s="245"/>
      <c r="D52" s="248">
        <v>12</v>
      </c>
      <c r="E52" s="511"/>
      <c r="F52" s="511"/>
      <c r="G52" s="511"/>
      <c r="H52" s="511"/>
      <c r="I52" s="511"/>
      <c r="J52" s="511"/>
      <c r="K52" s="511"/>
      <c r="L52" s="511"/>
      <c r="M52" s="511"/>
      <c r="N52" s="247"/>
      <c r="O52" s="247"/>
      <c r="P52" s="247"/>
      <c r="Q52" s="247"/>
      <c r="S52" s="573"/>
      <c r="T52" s="573"/>
      <c r="U52" s="573"/>
      <c r="V52" s="573"/>
      <c r="W52" s="573"/>
      <c r="X52" s="573"/>
      <c r="Y52" s="573"/>
      <c r="Z52" s="573"/>
      <c r="AA52" s="573"/>
      <c r="AB52" s="573"/>
      <c r="AC52" s="573"/>
      <c r="AD52" s="573"/>
      <c r="AE52" s="573"/>
      <c r="AF52" s="573"/>
      <c r="AG52" s="573"/>
      <c r="AH52" s="247"/>
    </row>
    <row r="53" spans="2:34" s="246" customFormat="1" ht="12.75">
      <c r="B53" s="244"/>
      <c r="C53" s="245"/>
      <c r="D53" s="248">
        <v>13</v>
      </c>
      <c r="E53" s="511"/>
      <c r="F53" s="511"/>
      <c r="G53" s="511"/>
      <c r="H53" s="511"/>
      <c r="I53" s="511"/>
      <c r="J53" s="511"/>
      <c r="K53" s="511"/>
      <c r="L53" s="511"/>
      <c r="M53" s="511"/>
      <c r="N53" s="247"/>
      <c r="O53" s="247"/>
      <c r="P53" s="247"/>
      <c r="Q53" s="247"/>
      <c r="S53" s="573"/>
      <c r="T53" s="573"/>
      <c r="U53" s="573"/>
      <c r="V53" s="573"/>
      <c r="W53" s="573"/>
      <c r="X53" s="573"/>
      <c r="Y53" s="573"/>
      <c r="Z53" s="573"/>
      <c r="AA53" s="573"/>
      <c r="AB53" s="573"/>
      <c r="AC53" s="573"/>
      <c r="AD53" s="573"/>
      <c r="AE53" s="573"/>
      <c r="AF53" s="573"/>
      <c r="AG53" s="573"/>
      <c r="AH53" s="247"/>
    </row>
    <row r="54" spans="2:34" s="246" customFormat="1" ht="12.75">
      <c r="B54" s="244"/>
      <c r="C54" s="245"/>
      <c r="D54" s="248">
        <v>14</v>
      </c>
      <c r="E54" s="511"/>
      <c r="F54" s="511"/>
      <c r="G54" s="511"/>
      <c r="H54" s="511"/>
      <c r="I54" s="511"/>
      <c r="J54" s="511"/>
      <c r="K54" s="511"/>
      <c r="L54" s="511"/>
      <c r="M54" s="511"/>
      <c r="N54" s="247"/>
      <c r="O54" s="247"/>
      <c r="P54" s="247"/>
      <c r="Q54" s="247"/>
      <c r="S54" s="573"/>
      <c r="T54" s="573"/>
      <c r="U54" s="573"/>
      <c r="V54" s="573"/>
      <c r="W54" s="573"/>
      <c r="X54" s="573"/>
      <c r="Y54" s="573"/>
      <c r="Z54" s="573"/>
      <c r="AA54" s="573"/>
      <c r="AB54" s="573"/>
      <c r="AC54" s="573"/>
      <c r="AD54" s="573"/>
      <c r="AE54" s="573"/>
      <c r="AF54" s="573"/>
      <c r="AG54" s="573"/>
      <c r="AH54" s="247"/>
    </row>
    <row r="55" spans="2:34" s="246" customFormat="1" ht="12.75">
      <c r="B55" s="244"/>
      <c r="C55" s="245"/>
      <c r="D55" s="248">
        <v>15</v>
      </c>
      <c r="E55" s="511"/>
      <c r="F55" s="511"/>
      <c r="G55" s="511"/>
      <c r="H55" s="511"/>
      <c r="I55" s="511"/>
      <c r="J55" s="511"/>
      <c r="K55" s="511"/>
      <c r="L55" s="511"/>
      <c r="M55" s="511"/>
      <c r="N55" s="247"/>
      <c r="O55" s="247"/>
      <c r="P55" s="247"/>
      <c r="Q55" s="247"/>
      <c r="S55" s="573"/>
      <c r="T55" s="573"/>
      <c r="U55" s="573"/>
      <c r="V55" s="573"/>
      <c r="W55" s="573"/>
      <c r="X55" s="573"/>
      <c r="Y55" s="573"/>
      <c r="Z55" s="573"/>
      <c r="AA55" s="573"/>
      <c r="AB55" s="573"/>
      <c r="AC55" s="573"/>
      <c r="AD55" s="573"/>
      <c r="AE55" s="573"/>
      <c r="AF55" s="573"/>
      <c r="AG55" s="573"/>
      <c r="AH55" s="247"/>
    </row>
    <row r="56" spans="2:34" s="246" customFormat="1" ht="12.75">
      <c r="B56" s="244"/>
      <c r="C56" s="245"/>
      <c r="D56" s="248">
        <f>+D55+1</f>
        <v>16</v>
      </c>
      <c r="E56" s="511"/>
      <c r="F56" s="511"/>
      <c r="G56" s="511"/>
      <c r="H56" s="511"/>
      <c r="I56" s="511"/>
      <c r="J56" s="511"/>
      <c r="K56" s="511"/>
      <c r="L56" s="511"/>
      <c r="M56" s="511"/>
      <c r="N56" s="247"/>
      <c r="O56" s="247"/>
      <c r="P56" s="247"/>
      <c r="Q56" s="247"/>
      <c r="S56" s="573"/>
      <c r="T56" s="573"/>
      <c r="U56" s="573"/>
      <c r="V56" s="573"/>
      <c r="W56" s="573"/>
      <c r="X56" s="573"/>
      <c r="Y56" s="573"/>
      <c r="Z56" s="573"/>
      <c r="AA56" s="573"/>
      <c r="AB56" s="573"/>
      <c r="AC56" s="573"/>
      <c r="AD56" s="573"/>
      <c r="AE56" s="573"/>
      <c r="AF56" s="573"/>
      <c r="AG56" s="573"/>
      <c r="AH56" s="247"/>
    </row>
    <row r="57" spans="2:34" s="246" customFormat="1" ht="12.75">
      <c r="B57" s="244"/>
      <c r="C57" s="245"/>
      <c r="D57" s="248">
        <f aca="true" t="shared" si="4" ref="D57:D66">+D56+1</f>
        <v>17</v>
      </c>
      <c r="E57" s="511"/>
      <c r="F57" s="511"/>
      <c r="G57" s="511"/>
      <c r="H57" s="511"/>
      <c r="I57" s="511"/>
      <c r="J57" s="511"/>
      <c r="K57" s="511"/>
      <c r="L57" s="511"/>
      <c r="M57" s="511"/>
      <c r="N57" s="247"/>
      <c r="O57" s="247"/>
      <c r="P57" s="247"/>
      <c r="Q57" s="247"/>
      <c r="S57" s="573"/>
      <c r="T57" s="573"/>
      <c r="U57" s="573"/>
      <c r="V57" s="573"/>
      <c r="W57" s="573"/>
      <c r="X57" s="573"/>
      <c r="Y57" s="573"/>
      <c r="Z57" s="573"/>
      <c r="AA57" s="573"/>
      <c r="AB57" s="573"/>
      <c r="AC57" s="573"/>
      <c r="AD57" s="573"/>
      <c r="AE57" s="573"/>
      <c r="AF57" s="573"/>
      <c r="AG57" s="573"/>
      <c r="AH57" s="247"/>
    </row>
    <row r="58" spans="2:34" s="246" customFormat="1" ht="12.75">
      <c r="B58" s="244"/>
      <c r="C58" s="245"/>
      <c r="D58" s="248">
        <f t="shared" si="4"/>
        <v>18</v>
      </c>
      <c r="E58" s="511"/>
      <c r="F58" s="511"/>
      <c r="G58" s="511"/>
      <c r="H58" s="511"/>
      <c r="I58" s="511"/>
      <c r="J58" s="511"/>
      <c r="K58" s="511"/>
      <c r="L58" s="511"/>
      <c r="M58" s="511"/>
      <c r="N58" s="247"/>
      <c r="O58" s="247"/>
      <c r="P58" s="247"/>
      <c r="Q58" s="247"/>
      <c r="S58" s="573"/>
      <c r="T58" s="573"/>
      <c r="U58" s="573"/>
      <c r="V58" s="573"/>
      <c r="W58" s="573"/>
      <c r="X58" s="573"/>
      <c r="Y58" s="573"/>
      <c r="Z58" s="573"/>
      <c r="AA58" s="573"/>
      <c r="AB58" s="573"/>
      <c r="AC58" s="573"/>
      <c r="AD58" s="573"/>
      <c r="AE58" s="573"/>
      <c r="AF58" s="573"/>
      <c r="AG58" s="573"/>
      <c r="AH58" s="247"/>
    </row>
    <row r="59" spans="2:34" s="246" customFormat="1" ht="12.75">
      <c r="B59" s="244"/>
      <c r="C59" s="245"/>
      <c r="D59" s="248">
        <f t="shared" si="4"/>
        <v>19</v>
      </c>
      <c r="E59" s="511"/>
      <c r="F59" s="511"/>
      <c r="G59" s="511"/>
      <c r="H59" s="511"/>
      <c r="I59" s="511"/>
      <c r="J59" s="511"/>
      <c r="K59" s="511"/>
      <c r="L59" s="511"/>
      <c r="M59" s="511"/>
      <c r="N59" s="247"/>
      <c r="O59" s="247"/>
      <c r="P59" s="247"/>
      <c r="Q59" s="247"/>
      <c r="S59" s="573"/>
      <c r="T59" s="573"/>
      <c r="U59" s="573"/>
      <c r="V59" s="573"/>
      <c r="W59" s="573"/>
      <c r="X59" s="573"/>
      <c r="Y59" s="573"/>
      <c r="Z59" s="573"/>
      <c r="AA59" s="573"/>
      <c r="AB59" s="573"/>
      <c r="AC59" s="573"/>
      <c r="AD59" s="573"/>
      <c r="AE59" s="573"/>
      <c r="AF59" s="573"/>
      <c r="AG59" s="573"/>
      <c r="AH59" s="247"/>
    </row>
    <row r="60" spans="2:34" s="246" customFormat="1" ht="12.75">
      <c r="B60" s="244"/>
      <c r="C60" s="245"/>
      <c r="D60" s="248">
        <f t="shared" si="4"/>
        <v>20</v>
      </c>
      <c r="E60" s="511"/>
      <c r="F60" s="511"/>
      <c r="G60" s="511"/>
      <c r="H60" s="511"/>
      <c r="I60" s="511"/>
      <c r="J60" s="511"/>
      <c r="K60" s="511"/>
      <c r="L60" s="511"/>
      <c r="M60" s="511"/>
      <c r="N60" s="247"/>
      <c r="O60" s="247"/>
      <c r="P60" s="247"/>
      <c r="Q60" s="247"/>
      <c r="S60" s="573"/>
      <c r="T60" s="573"/>
      <c r="U60" s="573"/>
      <c r="V60" s="573"/>
      <c r="W60" s="573"/>
      <c r="X60" s="573"/>
      <c r="Y60" s="573"/>
      <c r="Z60" s="573"/>
      <c r="AA60" s="573"/>
      <c r="AB60" s="573"/>
      <c r="AC60" s="573"/>
      <c r="AD60" s="573"/>
      <c r="AE60" s="573"/>
      <c r="AF60" s="573"/>
      <c r="AG60" s="573"/>
      <c r="AH60" s="247"/>
    </row>
    <row r="61" spans="2:34" s="246" customFormat="1" ht="12.75">
      <c r="B61" s="244"/>
      <c r="C61" s="245"/>
      <c r="D61" s="248">
        <f t="shared" si="4"/>
        <v>21</v>
      </c>
      <c r="E61" s="511"/>
      <c r="F61" s="511"/>
      <c r="G61" s="511"/>
      <c r="H61" s="511"/>
      <c r="I61" s="511"/>
      <c r="J61" s="511"/>
      <c r="K61" s="511"/>
      <c r="L61" s="511"/>
      <c r="M61" s="511"/>
      <c r="N61" s="247"/>
      <c r="O61" s="247"/>
      <c r="P61" s="247"/>
      <c r="Q61" s="247"/>
      <c r="S61" s="573"/>
      <c r="T61" s="573"/>
      <c r="U61" s="573"/>
      <c r="V61" s="573"/>
      <c r="W61" s="573"/>
      <c r="X61" s="573"/>
      <c r="Y61" s="573"/>
      <c r="Z61" s="573"/>
      <c r="AA61" s="573"/>
      <c r="AB61" s="573"/>
      <c r="AC61" s="573"/>
      <c r="AD61" s="573"/>
      <c r="AE61" s="573"/>
      <c r="AF61" s="573"/>
      <c r="AG61" s="573"/>
      <c r="AH61" s="247"/>
    </row>
    <row r="62" spans="2:34" s="246" customFormat="1" ht="12.75">
      <c r="B62" s="244"/>
      <c r="C62" s="245"/>
      <c r="D62" s="248">
        <f t="shared" si="4"/>
        <v>22</v>
      </c>
      <c r="E62" s="511"/>
      <c r="F62" s="511"/>
      <c r="G62" s="511"/>
      <c r="H62" s="511"/>
      <c r="I62" s="511"/>
      <c r="J62" s="511"/>
      <c r="K62" s="511"/>
      <c r="L62" s="511"/>
      <c r="M62" s="511"/>
      <c r="N62" s="247"/>
      <c r="O62" s="247"/>
      <c r="P62" s="247"/>
      <c r="Q62" s="247"/>
      <c r="S62" s="573"/>
      <c r="T62" s="573"/>
      <c r="U62" s="573"/>
      <c r="V62" s="573"/>
      <c r="W62" s="573"/>
      <c r="X62" s="573"/>
      <c r="Y62" s="573"/>
      <c r="Z62" s="573"/>
      <c r="AA62" s="573"/>
      <c r="AB62" s="573"/>
      <c r="AC62" s="573"/>
      <c r="AD62" s="573"/>
      <c r="AE62" s="573"/>
      <c r="AF62" s="573"/>
      <c r="AG62" s="573"/>
      <c r="AH62" s="247"/>
    </row>
    <row r="63" spans="2:34" s="246" customFormat="1" ht="12.75">
      <c r="B63" s="244"/>
      <c r="C63" s="245"/>
      <c r="D63" s="248">
        <f t="shared" si="4"/>
        <v>23</v>
      </c>
      <c r="E63" s="511"/>
      <c r="F63" s="511"/>
      <c r="G63" s="511"/>
      <c r="H63" s="511"/>
      <c r="I63" s="511"/>
      <c r="J63" s="511"/>
      <c r="K63" s="511"/>
      <c r="L63" s="511"/>
      <c r="M63" s="511"/>
      <c r="N63" s="247"/>
      <c r="O63" s="247"/>
      <c r="P63" s="247"/>
      <c r="Q63" s="247"/>
      <c r="S63" s="573"/>
      <c r="T63" s="573"/>
      <c r="U63" s="573"/>
      <c r="V63" s="573"/>
      <c r="W63" s="573"/>
      <c r="X63" s="573"/>
      <c r="Y63" s="573"/>
      <c r="Z63" s="573"/>
      <c r="AA63" s="573"/>
      <c r="AB63" s="573"/>
      <c r="AC63" s="573"/>
      <c r="AD63" s="573"/>
      <c r="AE63" s="573"/>
      <c r="AF63" s="573"/>
      <c r="AG63" s="573"/>
      <c r="AH63" s="247"/>
    </row>
    <row r="64" spans="2:34" s="246" customFormat="1" ht="12.75">
      <c r="B64" s="244"/>
      <c r="C64" s="245"/>
      <c r="D64" s="248">
        <f t="shared" si="4"/>
        <v>24</v>
      </c>
      <c r="E64" s="511"/>
      <c r="F64" s="511"/>
      <c r="G64" s="511"/>
      <c r="H64" s="511"/>
      <c r="I64" s="511"/>
      <c r="J64" s="511"/>
      <c r="K64" s="511"/>
      <c r="L64" s="511"/>
      <c r="M64" s="511"/>
      <c r="N64" s="247"/>
      <c r="O64" s="247"/>
      <c r="P64" s="247"/>
      <c r="Q64" s="247"/>
      <c r="S64" s="573"/>
      <c r="T64" s="573"/>
      <c r="U64" s="573"/>
      <c r="V64" s="573"/>
      <c r="W64" s="573"/>
      <c r="X64" s="573"/>
      <c r="Y64" s="573"/>
      <c r="Z64" s="573"/>
      <c r="AA64" s="573"/>
      <c r="AB64" s="573"/>
      <c r="AC64" s="573"/>
      <c r="AD64" s="573"/>
      <c r="AE64" s="573"/>
      <c r="AF64" s="573"/>
      <c r="AG64" s="573"/>
      <c r="AH64" s="247"/>
    </row>
    <row r="65" spans="2:34" s="246" customFormat="1" ht="12.75">
      <c r="B65" s="244"/>
      <c r="C65" s="245"/>
      <c r="D65" s="248">
        <f t="shared" si="4"/>
        <v>25</v>
      </c>
      <c r="E65" s="511"/>
      <c r="F65" s="511"/>
      <c r="G65" s="511"/>
      <c r="H65" s="511"/>
      <c r="I65" s="511"/>
      <c r="J65" s="511"/>
      <c r="K65" s="511"/>
      <c r="L65" s="511"/>
      <c r="M65" s="511"/>
      <c r="N65" s="247"/>
      <c r="O65" s="247"/>
      <c r="P65" s="247"/>
      <c r="Q65" s="247"/>
      <c r="S65" s="573"/>
      <c r="T65" s="573"/>
      <c r="U65" s="573"/>
      <c r="V65" s="573"/>
      <c r="W65" s="573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247"/>
    </row>
    <row r="66" spans="2:34" s="246" customFormat="1" ht="12.75">
      <c r="B66" s="244"/>
      <c r="C66" s="245"/>
      <c r="D66" s="248">
        <f t="shared" si="4"/>
        <v>26</v>
      </c>
      <c r="E66" s="511"/>
      <c r="F66" s="511"/>
      <c r="G66" s="511"/>
      <c r="H66" s="511"/>
      <c r="I66" s="511"/>
      <c r="J66" s="511"/>
      <c r="K66" s="511"/>
      <c r="L66" s="511"/>
      <c r="M66" s="511"/>
      <c r="N66" s="247"/>
      <c r="O66" s="247"/>
      <c r="P66" s="247"/>
      <c r="Q66" s="247"/>
      <c r="S66" s="573"/>
      <c r="T66" s="573"/>
      <c r="U66" s="573"/>
      <c r="V66" s="573"/>
      <c r="W66" s="573"/>
      <c r="X66" s="573"/>
      <c r="Y66" s="573"/>
      <c r="Z66" s="573"/>
      <c r="AA66" s="573"/>
      <c r="AB66" s="573"/>
      <c r="AC66" s="573"/>
      <c r="AD66" s="573"/>
      <c r="AE66" s="573"/>
      <c r="AF66" s="573"/>
      <c r="AG66" s="573"/>
      <c r="AH66" s="247"/>
    </row>
    <row r="67" spans="2:34" s="246" customFormat="1" ht="12">
      <c r="B67" s="244"/>
      <c r="C67" s="245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S67" s="573"/>
      <c r="T67" s="573"/>
      <c r="U67" s="573"/>
      <c r="V67" s="573"/>
      <c r="W67" s="573"/>
      <c r="X67" s="573"/>
      <c r="Y67" s="573"/>
      <c r="Z67" s="573"/>
      <c r="AA67" s="573"/>
      <c r="AB67" s="573"/>
      <c r="AC67" s="573"/>
      <c r="AD67" s="573"/>
      <c r="AE67" s="573"/>
      <c r="AF67" s="573"/>
      <c r="AG67" s="573"/>
      <c r="AH67" s="247"/>
    </row>
    <row r="68" spans="2:34" s="246" customFormat="1" ht="12">
      <c r="B68" s="244"/>
      <c r="C68" s="245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S68" s="573"/>
      <c r="T68" s="573"/>
      <c r="U68" s="573"/>
      <c r="V68" s="573"/>
      <c r="W68" s="573"/>
      <c r="X68" s="573"/>
      <c r="Y68" s="573"/>
      <c r="Z68" s="573"/>
      <c r="AA68" s="573"/>
      <c r="AB68" s="573"/>
      <c r="AC68" s="573"/>
      <c r="AD68" s="573"/>
      <c r="AE68" s="573"/>
      <c r="AF68" s="573"/>
      <c r="AG68" s="573"/>
      <c r="AH68" s="247"/>
    </row>
    <row r="69" spans="2:34" s="246" customFormat="1" ht="12">
      <c r="B69" s="244"/>
      <c r="C69" s="245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S69" s="573"/>
      <c r="T69" s="573"/>
      <c r="U69" s="573"/>
      <c r="V69" s="573"/>
      <c r="W69" s="573"/>
      <c r="X69" s="573"/>
      <c r="Y69" s="573"/>
      <c r="Z69" s="573"/>
      <c r="AA69" s="573"/>
      <c r="AB69" s="573"/>
      <c r="AC69" s="573"/>
      <c r="AD69" s="573"/>
      <c r="AE69" s="573"/>
      <c r="AF69" s="573"/>
      <c r="AG69" s="573"/>
      <c r="AH69" s="247"/>
    </row>
    <row r="70" spans="2:34" s="246" customFormat="1" ht="12">
      <c r="B70" s="244"/>
      <c r="C70" s="245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S70" s="573"/>
      <c r="T70" s="573"/>
      <c r="U70" s="573"/>
      <c r="V70" s="573"/>
      <c r="W70" s="573"/>
      <c r="X70" s="573"/>
      <c r="Y70" s="573"/>
      <c r="Z70" s="573"/>
      <c r="AA70" s="573"/>
      <c r="AB70" s="573"/>
      <c r="AC70" s="573"/>
      <c r="AD70" s="573"/>
      <c r="AE70" s="573"/>
      <c r="AF70" s="573"/>
      <c r="AG70" s="573"/>
      <c r="AH70" s="247"/>
    </row>
    <row r="71" spans="2:48" s="219" customFormat="1" ht="14.25">
      <c r="B71" s="44"/>
      <c r="C71" s="45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S71" s="572"/>
      <c r="T71" s="572"/>
      <c r="U71" s="572"/>
      <c r="V71" s="572"/>
      <c r="W71" s="572"/>
      <c r="X71" s="572"/>
      <c r="Y71" s="572"/>
      <c r="Z71" s="572"/>
      <c r="AA71" s="572"/>
      <c r="AB71" s="572"/>
      <c r="AC71" s="572"/>
      <c r="AD71" s="572"/>
      <c r="AE71" s="572"/>
      <c r="AF71" s="572"/>
      <c r="AG71" s="572"/>
      <c r="AH71" s="263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4:34" s="26" customFormat="1" ht="14.25">
      <c r="D72" s="44" t="s">
        <v>253</v>
      </c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S72" s="571"/>
      <c r="T72" s="571"/>
      <c r="U72" s="571"/>
      <c r="V72" s="571"/>
      <c r="W72" s="571"/>
      <c r="X72" s="571"/>
      <c r="Y72" s="571"/>
      <c r="Z72" s="571"/>
      <c r="AA72" s="571"/>
      <c r="AB72" s="571"/>
      <c r="AC72" s="571"/>
      <c r="AD72" s="571"/>
      <c r="AE72" s="571"/>
      <c r="AF72" s="571"/>
      <c r="AG72" s="571"/>
      <c r="AH72" s="76"/>
    </row>
    <row r="73" spans="5:48" s="26" customFormat="1" ht="14.25"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S73" s="571"/>
      <c r="T73" s="571"/>
      <c r="U73" s="571"/>
      <c r="V73" s="571"/>
      <c r="W73" s="571"/>
      <c r="X73" s="571"/>
      <c r="Y73" s="571"/>
      <c r="Z73" s="571"/>
      <c r="AA73" s="571"/>
      <c r="AB73" s="571"/>
      <c r="AC73" s="571"/>
      <c r="AD73" s="571"/>
      <c r="AE73" s="571"/>
      <c r="AF73" s="571"/>
      <c r="AG73" s="571"/>
      <c r="AH73" s="76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</row>
    <row r="74" spans="19:48" s="31" customFormat="1" ht="12.75">
      <c r="S74" s="574"/>
      <c r="T74" s="574"/>
      <c r="U74" s="574"/>
      <c r="V74" s="574"/>
      <c r="W74" s="574"/>
      <c r="X74" s="574"/>
      <c r="Y74" s="574"/>
      <c r="Z74" s="574"/>
      <c r="AA74" s="574"/>
      <c r="AB74" s="574"/>
      <c r="AC74" s="574"/>
      <c r="AD74" s="574"/>
      <c r="AE74" s="574"/>
      <c r="AF74" s="574"/>
      <c r="AG74" s="574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</sheetData>
  <sheetProtection/>
  <mergeCells count="6">
    <mergeCell ref="B2:R2"/>
    <mergeCell ref="B3:R3"/>
    <mergeCell ref="B5:D5"/>
    <mergeCell ref="Q5:R5"/>
    <mergeCell ref="B7:D7"/>
    <mergeCell ref="E41:M6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N118"/>
  <sheetViews>
    <sheetView showGridLines="0" zoomScaleSheetLayoutView="90" zoomScalePageLayoutView="0" workbookViewId="0" topLeftCell="A1">
      <selection activeCell="S27" sqref="S27"/>
    </sheetView>
  </sheetViews>
  <sheetFormatPr defaultColWidth="9.140625" defaultRowHeight="12.75"/>
  <cols>
    <col min="1" max="1" width="5.140625" style="85" customWidth="1"/>
    <col min="2" max="2" width="2.28125" style="85" customWidth="1"/>
    <col min="3" max="3" width="21.00390625" style="85" customWidth="1"/>
    <col min="4" max="4" width="12.28125" style="85" customWidth="1"/>
    <col min="5" max="7" width="10.7109375" style="85" customWidth="1"/>
    <col min="8" max="8" width="11.421875" style="85" customWidth="1"/>
    <col min="9" max="9" width="12.00390625" style="85" customWidth="1"/>
    <col min="10" max="15" width="10.7109375" style="85" customWidth="1"/>
    <col min="16" max="16" width="11.7109375" style="85" customWidth="1"/>
    <col min="17" max="17" width="1.1484375" style="85" customWidth="1"/>
    <col min="18" max="18" width="2.8515625" style="85" customWidth="1"/>
    <col min="19" max="19" width="12.57421875" style="217" bestFit="1" customWidth="1"/>
    <col min="20" max="20" width="11.421875" style="267" customWidth="1"/>
    <col min="21" max="21" width="12.00390625" style="217" customWidth="1"/>
    <col min="22" max="22" width="11.57421875" style="217" customWidth="1"/>
    <col min="23" max="23" width="11.7109375" style="267" customWidth="1"/>
    <col min="24" max="26" width="11.421875" style="267" customWidth="1"/>
    <col min="27" max="27" width="10.00390625" style="267" customWidth="1"/>
    <col min="28" max="30" width="11.421875" style="267" customWidth="1"/>
    <col min="31" max="31" width="3.00390625" style="267" customWidth="1"/>
    <col min="32" max="32" width="9.140625" style="267" customWidth="1"/>
    <col min="33" max="33" width="9.140625" style="256" customWidth="1"/>
    <col min="34" max="39" width="9.140625" style="267" customWidth="1"/>
    <col min="40" max="51" width="9.140625" style="85" customWidth="1"/>
    <col min="52" max="52" width="9.57421875" style="85" bestFit="1" customWidth="1"/>
    <col min="53" max="54" width="9.28125" style="85" bestFit="1" customWidth="1"/>
    <col min="55" max="56" width="11.421875" style="85" bestFit="1" customWidth="1"/>
    <col min="57" max="57" width="9.57421875" style="85" bestFit="1" customWidth="1"/>
    <col min="58" max="61" width="9.28125" style="85" bestFit="1" customWidth="1"/>
    <col min="62" max="62" width="9.57421875" style="85" bestFit="1" customWidth="1"/>
    <col min="63" max="63" width="11.421875" style="85" bestFit="1" customWidth="1"/>
    <col min="64" max="16384" width="9.140625" style="85" customWidth="1"/>
  </cols>
  <sheetData>
    <row r="2" spans="2:39" s="81" customFormat="1" ht="16.5">
      <c r="B2" s="465" t="s">
        <v>294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S2" s="278"/>
      <c r="T2" s="279"/>
      <c r="U2" s="278"/>
      <c r="V2" s="278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</row>
    <row r="3" spans="2:39" s="81" customFormat="1" ht="16.5">
      <c r="B3" s="465" t="s">
        <v>145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S3" s="278"/>
      <c r="T3" s="279"/>
      <c r="U3" s="278"/>
      <c r="V3" s="278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</row>
    <row r="4" spans="19:39" s="81" customFormat="1" ht="15.75">
      <c r="S4" s="278"/>
      <c r="T4" s="279"/>
      <c r="U4" s="278"/>
      <c r="V4" s="278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</row>
    <row r="5" spans="2:39" s="10" customFormat="1" ht="39" customHeight="1">
      <c r="B5" s="602" t="s">
        <v>134</v>
      </c>
      <c r="C5" s="603"/>
      <c r="D5" s="604" t="s">
        <v>1</v>
      </c>
      <c r="E5" s="604" t="s">
        <v>24</v>
      </c>
      <c r="F5" s="604" t="s">
        <v>25</v>
      </c>
      <c r="G5" s="604" t="s">
        <v>4</v>
      </c>
      <c r="H5" s="604" t="s">
        <v>5</v>
      </c>
      <c r="I5" s="604" t="s">
        <v>6</v>
      </c>
      <c r="J5" s="604" t="s">
        <v>7</v>
      </c>
      <c r="K5" s="604" t="s">
        <v>8</v>
      </c>
      <c r="L5" s="604" t="s">
        <v>9</v>
      </c>
      <c r="M5" s="604" t="s">
        <v>10</v>
      </c>
      <c r="N5" s="604" t="s">
        <v>11</v>
      </c>
      <c r="O5" s="604" t="s">
        <v>12</v>
      </c>
      <c r="P5" s="602" t="s">
        <v>13</v>
      </c>
      <c r="Q5" s="605"/>
      <c r="S5" s="196"/>
      <c r="T5" s="16"/>
      <c r="U5" s="217"/>
      <c r="V5" s="217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84"/>
      <c r="AH5" s="223"/>
      <c r="AI5" s="223"/>
      <c r="AJ5" s="223"/>
      <c r="AK5" s="223"/>
      <c r="AL5" s="223"/>
      <c r="AM5" s="223"/>
    </row>
    <row r="6" spans="2:32" s="15" customFormat="1" ht="15.75">
      <c r="B6" s="606"/>
      <c r="C6" s="607"/>
      <c r="D6" s="607"/>
      <c r="E6" s="607"/>
      <c r="F6" s="607"/>
      <c r="G6" s="607"/>
      <c r="H6" s="607"/>
      <c r="I6" s="607"/>
      <c r="J6" s="607"/>
      <c r="K6" s="607"/>
      <c r="L6" s="607"/>
      <c r="M6" s="607"/>
      <c r="N6" s="607"/>
      <c r="O6" s="607"/>
      <c r="P6" s="607"/>
      <c r="Q6" s="608"/>
      <c r="S6" s="196"/>
      <c r="T6" s="16"/>
      <c r="U6" s="217"/>
      <c r="V6" s="217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9" s="11" customFormat="1" ht="15.75">
      <c r="B7" s="609" t="s">
        <v>1</v>
      </c>
      <c r="C7" s="610"/>
      <c r="D7" s="611">
        <f>SUM(D9:D31)</f>
        <v>6072887.8391</v>
      </c>
      <c r="E7" s="611">
        <f aca="true" t="shared" si="0" ref="E7:P7">SUM(E9:E30)</f>
        <v>688406.8479999999</v>
      </c>
      <c r="F7" s="611">
        <f t="shared" si="0"/>
        <v>76954.826</v>
      </c>
      <c r="G7" s="611">
        <f t="shared" si="0"/>
        <v>23087.324500000002</v>
      </c>
      <c r="H7" s="611">
        <f t="shared" si="0"/>
        <v>1096108.1439999999</v>
      </c>
      <c r="I7" s="611">
        <f t="shared" si="0"/>
        <v>1646507.8439999998</v>
      </c>
      <c r="J7" s="611">
        <f t="shared" si="0"/>
        <v>567302.452</v>
      </c>
      <c r="K7" s="611">
        <f t="shared" si="0"/>
        <v>62087.235</v>
      </c>
      <c r="L7" s="611">
        <f t="shared" si="0"/>
        <v>1907.1950000000002</v>
      </c>
      <c r="M7" s="611">
        <f t="shared" si="0"/>
        <v>807.002</v>
      </c>
      <c r="N7" s="611">
        <f t="shared" si="0"/>
        <v>6597.176</v>
      </c>
      <c r="O7" s="611">
        <f t="shared" si="0"/>
        <v>868171.1825999998</v>
      </c>
      <c r="P7" s="611">
        <f t="shared" si="0"/>
        <v>1034950.6099999999</v>
      </c>
      <c r="Q7" s="612"/>
      <c r="S7" s="280"/>
      <c r="T7" s="15"/>
      <c r="U7" s="226"/>
      <c r="V7" s="226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2:39" s="83" customFormat="1" ht="15">
      <c r="B8" s="558"/>
      <c r="C8" s="559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560"/>
      <c r="S8" s="103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84"/>
      <c r="AH8" s="84"/>
      <c r="AI8" s="84"/>
      <c r="AJ8" s="84"/>
      <c r="AK8" s="84"/>
      <c r="AL8" s="84"/>
      <c r="AM8" s="84"/>
    </row>
    <row r="9" spans="2:39" s="83" customFormat="1" ht="19.5" customHeight="1">
      <c r="B9" s="558"/>
      <c r="C9" s="555" t="s">
        <v>26</v>
      </c>
      <c r="D9" s="556">
        <f>SUM(E9:P9)</f>
        <v>86302.104</v>
      </c>
      <c r="E9" s="614">
        <v>20054.004</v>
      </c>
      <c r="F9" s="615" t="s">
        <v>21</v>
      </c>
      <c r="G9" s="615" t="s">
        <v>21</v>
      </c>
      <c r="H9" s="615">
        <v>40717.635</v>
      </c>
      <c r="I9" s="615" t="s">
        <v>21</v>
      </c>
      <c r="J9" s="615">
        <v>25530.465</v>
      </c>
      <c r="K9" s="615" t="s">
        <v>21</v>
      </c>
      <c r="L9" s="615" t="s">
        <v>21</v>
      </c>
      <c r="M9" s="615" t="s">
        <v>21</v>
      </c>
      <c r="N9" s="615" t="s">
        <v>21</v>
      </c>
      <c r="O9" s="615" t="s">
        <v>21</v>
      </c>
      <c r="P9" s="615" t="s">
        <v>21</v>
      </c>
      <c r="Q9" s="560"/>
      <c r="S9" s="272"/>
      <c r="T9" s="196"/>
      <c r="U9" s="272"/>
      <c r="V9" s="272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84"/>
      <c r="AH9" s="195"/>
      <c r="AI9" s="84"/>
      <c r="AJ9" s="84"/>
      <c r="AK9" s="84"/>
      <c r="AL9" s="84"/>
      <c r="AM9" s="84"/>
    </row>
    <row r="10" spans="2:39" s="83" customFormat="1" ht="19.5" customHeight="1">
      <c r="B10" s="558"/>
      <c r="C10" s="555" t="s">
        <v>27</v>
      </c>
      <c r="D10" s="556">
        <f aca="true" t="shared" si="1" ref="D10:D30">SUM(E10:P10)</f>
        <v>0</v>
      </c>
      <c r="E10" s="614" t="s">
        <v>21</v>
      </c>
      <c r="F10" s="614" t="s">
        <v>21</v>
      </c>
      <c r="G10" s="614" t="s">
        <v>21</v>
      </c>
      <c r="H10" s="614" t="s">
        <v>21</v>
      </c>
      <c r="I10" s="614" t="s">
        <v>21</v>
      </c>
      <c r="J10" s="614" t="s">
        <v>21</v>
      </c>
      <c r="K10" s="614" t="s">
        <v>21</v>
      </c>
      <c r="L10" s="614" t="s">
        <v>21</v>
      </c>
      <c r="M10" s="614" t="s">
        <v>21</v>
      </c>
      <c r="N10" s="614" t="s">
        <v>21</v>
      </c>
      <c r="O10" s="614" t="s">
        <v>21</v>
      </c>
      <c r="P10" s="614" t="s">
        <v>21</v>
      </c>
      <c r="Q10" s="560"/>
      <c r="S10" s="272"/>
      <c r="T10" s="16"/>
      <c r="U10" s="217"/>
      <c r="V10" s="217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84"/>
      <c r="AH10" s="195"/>
      <c r="AI10" s="84"/>
      <c r="AJ10" s="84"/>
      <c r="AK10" s="84"/>
      <c r="AL10" s="84"/>
      <c r="AM10" s="84"/>
    </row>
    <row r="11" spans="2:39" s="83" customFormat="1" ht="19.5" customHeight="1">
      <c r="B11" s="558"/>
      <c r="C11" s="555" t="s">
        <v>28</v>
      </c>
      <c r="D11" s="556">
        <f t="shared" si="1"/>
        <v>68840.655</v>
      </c>
      <c r="E11" s="614" t="s">
        <v>21</v>
      </c>
      <c r="F11" s="615" t="s">
        <v>21</v>
      </c>
      <c r="G11" s="615" t="s">
        <v>21</v>
      </c>
      <c r="H11" s="615" t="s">
        <v>21</v>
      </c>
      <c r="I11" s="615">
        <v>43837.555</v>
      </c>
      <c r="J11" s="615" t="s">
        <v>21</v>
      </c>
      <c r="K11" s="615" t="s">
        <v>21</v>
      </c>
      <c r="L11" s="615" t="s">
        <v>21</v>
      </c>
      <c r="M11" s="615" t="s">
        <v>21</v>
      </c>
      <c r="N11" s="615" t="s">
        <v>21</v>
      </c>
      <c r="O11" s="615">
        <v>11517.345</v>
      </c>
      <c r="P11" s="615">
        <v>13485.755</v>
      </c>
      <c r="Q11" s="560"/>
      <c r="S11" s="196"/>
      <c r="T11" s="16"/>
      <c r="U11" s="217"/>
      <c r="V11" s="217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84"/>
      <c r="AH11" s="185"/>
      <c r="AI11" s="84"/>
      <c r="AJ11" s="84"/>
      <c r="AK11" s="84"/>
      <c r="AL11" s="84"/>
      <c r="AM11" s="84"/>
    </row>
    <row r="12" spans="2:34" s="84" customFormat="1" ht="19.5" customHeight="1">
      <c r="B12" s="554"/>
      <c r="C12" s="555" t="s">
        <v>29</v>
      </c>
      <c r="D12" s="556">
        <f t="shared" si="1"/>
        <v>1191462.6600000001</v>
      </c>
      <c r="E12" s="614">
        <v>240344.16000000003</v>
      </c>
      <c r="F12" s="615" t="s">
        <v>21</v>
      </c>
      <c r="G12" s="615" t="s">
        <v>21</v>
      </c>
      <c r="H12" s="615">
        <v>208059.55499999996</v>
      </c>
      <c r="I12" s="615">
        <v>294800.155</v>
      </c>
      <c r="J12" s="615">
        <v>59774.025</v>
      </c>
      <c r="K12" s="615" t="s">
        <v>21</v>
      </c>
      <c r="L12" s="615" t="s">
        <v>21</v>
      </c>
      <c r="M12" s="615" t="s">
        <v>21</v>
      </c>
      <c r="N12" s="615" t="s">
        <v>21</v>
      </c>
      <c r="O12" s="615">
        <v>171103.685</v>
      </c>
      <c r="P12" s="615">
        <v>217381.07999999996</v>
      </c>
      <c r="Q12" s="557"/>
      <c r="S12" s="196"/>
      <c r="T12" s="16"/>
      <c r="U12" s="217"/>
      <c r="V12" s="217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H12" s="185"/>
    </row>
    <row r="13" spans="2:34" s="84" customFormat="1" ht="19.5" customHeight="1">
      <c r="B13" s="554"/>
      <c r="C13" s="555" t="s">
        <v>31</v>
      </c>
      <c r="D13" s="556">
        <f t="shared" si="1"/>
        <v>611743.996</v>
      </c>
      <c r="E13" s="614">
        <v>91542.663</v>
      </c>
      <c r="F13" s="615" t="s">
        <v>21</v>
      </c>
      <c r="G13" s="615" t="s">
        <v>21</v>
      </c>
      <c r="H13" s="615">
        <v>117397.82800000001</v>
      </c>
      <c r="I13" s="615">
        <v>157292.35</v>
      </c>
      <c r="J13" s="615">
        <v>48561.94499999999</v>
      </c>
      <c r="K13" s="615" t="s">
        <v>21</v>
      </c>
      <c r="L13" s="615" t="s">
        <v>21</v>
      </c>
      <c r="M13" s="615" t="s">
        <v>21</v>
      </c>
      <c r="N13" s="615" t="s">
        <v>21</v>
      </c>
      <c r="O13" s="615">
        <v>87603.07</v>
      </c>
      <c r="P13" s="615">
        <v>109346.14</v>
      </c>
      <c r="Q13" s="557"/>
      <c r="S13" s="196"/>
      <c r="T13" s="16"/>
      <c r="U13" s="217"/>
      <c r="V13" s="21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H13" s="185"/>
    </row>
    <row r="14" spans="2:34" s="84" customFormat="1" ht="19.5" customHeight="1">
      <c r="B14" s="554"/>
      <c r="C14" s="555" t="s">
        <v>32</v>
      </c>
      <c r="D14" s="556">
        <f t="shared" si="1"/>
        <v>1295620.2585</v>
      </c>
      <c r="E14" s="614">
        <v>189420.77599999998</v>
      </c>
      <c r="F14" s="615">
        <v>1466.8229999999999</v>
      </c>
      <c r="G14" s="615">
        <v>3014.6095</v>
      </c>
      <c r="H14" s="615">
        <v>250641.60300000003</v>
      </c>
      <c r="I14" s="615">
        <v>330532.9689999999</v>
      </c>
      <c r="J14" s="615">
        <v>104837.40499999997</v>
      </c>
      <c r="K14" s="615">
        <v>60.796</v>
      </c>
      <c r="L14" s="615">
        <v>504.24199999999996</v>
      </c>
      <c r="M14" s="615">
        <v>428.896</v>
      </c>
      <c r="N14" s="615">
        <v>989.9110000000001</v>
      </c>
      <c r="O14" s="615">
        <v>200471.75</v>
      </c>
      <c r="P14" s="615">
        <v>213250.47800000003</v>
      </c>
      <c r="Q14" s="557"/>
      <c r="S14" s="196"/>
      <c r="T14" s="16"/>
      <c r="U14" s="217"/>
      <c r="V14" s="21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H14" s="185"/>
    </row>
    <row r="15" spans="2:34" s="84" customFormat="1" ht="19.5" customHeight="1">
      <c r="B15" s="554"/>
      <c r="C15" s="555" t="s">
        <v>33</v>
      </c>
      <c r="D15" s="556">
        <f t="shared" si="1"/>
        <v>82001.87499999999</v>
      </c>
      <c r="E15" s="162">
        <v>13047.845</v>
      </c>
      <c r="F15" s="162" t="s">
        <v>21</v>
      </c>
      <c r="G15" s="162" t="s">
        <v>21</v>
      </c>
      <c r="H15" s="162">
        <v>17735.645</v>
      </c>
      <c r="I15" s="162">
        <v>23257.66</v>
      </c>
      <c r="J15" s="162">
        <v>1709.57</v>
      </c>
      <c r="K15" s="162" t="s">
        <v>21</v>
      </c>
      <c r="L15" s="162" t="s">
        <v>21</v>
      </c>
      <c r="M15" s="615" t="s">
        <v>21</v>
      </c>
      <c r="N15" s="615" t="s">
        <v>21</v>
      </c>
      <c r="O15" s="615">
        <v>15398.86</v>
      </c>
      <c r="P15" s="615">
        <v>10852.295</v>
      </c>
      <c r="Q15" s="557"/>
      <c r="S15" s="196"/>
      <c r="T15" s="16"/>
      <c r="U15" s="217"/>
      <c r="V15" s="217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H15" s="185"/>
    </row>
    <row r="16" spans="2:34" s="84" customFormat="1" ht="19.5" customHeight="1">
      <c r="B16" s="554"/>
      <c r="C16" s="555" t="s">
        <v>35</v>
      </c>
      <c r="D16" s="556">
        <f t="shared" si="1"/>
        <v>1889.8210000000004</v>
      </c>
      <c r="E16" s="614">
        <v>272.51</v>
      </c>
      <c r="F16" s="614">
        <v>375.238</v>
      </c>
      <c r="G16" s="614">
        <v>668.13</v>
      </c>
      <c r="H16" s="614">
        <v>136.548</v>
      </c>
      <c r="I16" s="614">
        <v>117.359</v>
      </c>
      <c r="J16" s="614">
        <v>13.121</v>
      </c>
      <c r="K16" s="614">
        <v>11.707</v>
      </c>
      <c r="L16" s="614" t="s">
        <v>21</v>
      </c>
      <c r="M16" s="614">
        <v>112.97</v>
      </c>
      <c r="N16" s="614" t="s">
        <v>21</v>
      </c>
      <c r="O16" s="614">
        <v>141.559</v>
      </c>
      <c r="P16" s="614">
        <v>40.679</v>
      </c>
      <c r="Q16" s="557"/>
      <c r="S16" s="196"/>
      <c r="T16" s="16"/>
      <c r="U16" s="217"/>
      <c r="V16" s="217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H16" s="185"/>
    </row>
    <row r="17" spans="2:34" s="84" customFormat="1" ht="19.5" customHeight="1">
      <c r="B17" s="554"/>
      <c r="C17" s="555" t="s">
        <v>36</v>
      </c>
      <c r="D17" s="556">
        <f t="shared" si="1"/>
        <v>403700.478</v>
      </c>
      <c r="E17" s="614">
        <v>56737.61</v>
      </c>
      <c r="F17" s="615" t="s">
        <v>21</v>
      </c>
      <c r="G17" s="615" t="s">
        <v>21</v>
      </c>
      <c r="H17" s="615">
        <v>80383.035</v>
      </c>
      <c r="I17" s="615">
        <v>126626.188</v>
      </c>
      <c r="J17" s="615">
        <v>8457.26</v>
      </c>
      <c r="K17" s="615" t="s">
        <v>21</v>
      </c>
      <c r="L17" s="615" t="s">
        <v>21</v>
      </c>
      <c r="M17" s="615" t="s">
        <v>21</v>
      </c>
      <c r="N17" s="615" t="s">
        <v>21</v>
      </c>
      <c r="O17" s="615">
        <v>59946.270000000004</v>
      </c>
      <c r="P17" s="615">
        <v>71550.11499999999</v>
      </c>
      <c r="Q17" s="557"/>
      <c r="S17" s="277"/>
      <c r="AH17" s="185"/>
    </row>
    <row r="18" spans="2:39" s="83" customFormat="1" ht="19.5" customHeight="1">
      <c r="B18" s="558"/>
      <c r="C18" s="555" t="s">
        <v>37</v>
      </c>
      <c r="D18" s="556">
        <f t="shared" si="1"/>
        <v>300558.9656</v>
      </c>
      <c r="E18" s="614">
        <v>31111.18</v>
      </c>
      <c r="F18" s="615" t="s">
        <v>21</v>
      </c>
      <c r="G18" s="615" t="s">
        <v>21</v>
      </c>
      <c r="H18" s="615">
        <v>57284.380000000005</v>
      </c>
      <c r="I18" s="615">
        <v>99938.93</v>
      </c>
      <c r="J18" s="615">
        <v>9453.3</v>
      </c>
      <c r="K18" s="615" t="s">
        <v>21</v>
      </c>
      <c r="L18" s="615" t="s">
        <v>21</v>
      </c>
      <c r="M18" s="615" t="s">
        <v>21</v>
      </c>
      <c r="N18" s="615" t="s">
        <v>21</v>
      </c>
      <c r="O18" s="615">
        <v>41072.7256</v>
      </c>
      <c r="P18" s="615">
        <v>61698.45</v>
      </c>
      <c r="Q18" s="560"/>
      <c r="S18" s="196"/>
      <c r="T18" s="16"/>
      <c r="U18" s="217"/>
      <c r="V18" s="217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84"/>
      <c r="AH18" s="185"/>
      <c r="AI18" s="84"/>
      <c r="AJ18" s="84"/>
      <c r="AK18" s="84"/>
      <c r="AL18" s="84"/>
      <c r="AM18" s="84"/>
    </row>
    <row r="19" spans="2:39" s="83" customFormat="1" ht="19.5" customHeight="1">
      <c r="B19" s="558"/>
      <c r="C19" s="555" t="s">
        <v>38</v>
      </c>
      <c r="D19" s="556">
        <f t="shared" si="1"/>
        <v>0</v>
      </c>
      <c r="E19" s="614" t="s">
        <v>21</v>
      </c>
      <c r="F19" s="615" t="s">
        <v>21</v>
      </c>
      <c r="G19" s="615" t="s">
        <v>21</v>
      </c>
      <c r="H19" s="615" t="s">
        <v>21</v>
      </c>
      <c r="I19" s="615" t="s">
        <v>21</v>
      </c>
      <c r="J19" s="615" t="s">
        <v>21</v>
      </c>
      <c r="K19" s="615" t="s">
        <v>21</v>
      </c>
      <c r="L19" s="615" t="s">
        <v>21</v>
      </c>
      <c r="M19" s="615" t="s">
        <v>21</v>
      </c>
      <c r="N19" s="615" t="s">
        <v>21</v>
      </c>
      <c r="O19" s="615" t="s">
        <v>21</v>
      </c>
      <c r="P19" s="615" t="s">
        <v>21</v>
      </c>
      <c r="Q19" s="560"/>
      <c r="S19" s="196"/>
      <c r="T19" s="16"/>
      <c r="U19" s="217"/>
      <c r="V19" s="217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84"/>
      <c r="AH19" s="185"/>
      <c r="AI19" s="84"/>
      <c r="AJ19" s="84"/>
      <c r="AK19" s="84"/>
      <c r="AL19" s="84"/>
      <c r="AM19" s="84"/>
    </row>
    <row r="20" spans="2:39" s="83" customFormat="1" ht="19.5" customHeight="1">
      <c r="B20" s="558"/>
      <c r="C20" s="555" t="s">
        <v>258</v>
      </c>
      <c r="D20" s="556">
        <f t="shared" si="1"/>
        <v>211635.05999999997</v>
      </c>
      <c r="E20" s="614">
        <v>18477.684999999998</v>
      </c>
      <c r="F20" s="615" t="s">
        <v>21</v>
      </c>
      <c r="G20" s="615" t="s">
        <v>21</v>
      </c>
      <c r="H20" s="615">
        <v>33305.965</v>
      </c>
      <c r="I20" s="615">
        <v>64103.395</v>
      </c>
      <c r="J20" s="615">
        <v>25860.145</v>
      </c>
      <c r="K20" s="615" t="s">
        <v>21</v>
      </c>
      <c r="L20" s="615" t="s">
        <v>21</v>
      </c>
      <c r="M20" s="615" t="s">
        <v>21</v>
      </c>
      <c r="N20" s="615" t="s">
        <v>21</v>
      </c>
      <c r="O20" s="615">
        <v>28017.91</v>
      </c>
      <c r="P20" s="615">
        <v>41869.96</v>
      </c>
      <c r="Q20" s="560"/>
      <c r="S20" s="196"/>
      <c r="T20" s="16"/>
      <c r="U20" s="217"/>
      <c r="V20" s="217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84"/>
      <c r="AH20" s="185"/>
      <c r="AI20" s="84"/>
      <c r="AJ20" s="84"/>
      <c r="AK20" s="84"/>
      <c r="AL20" s="84"/>
      <c r="AM20" s="84"/>
    </row>
    <row r="21" spans="2:39" s="83" customFormat="1" ht="19.5" customHeight="1">
      <c r="B21" s="558"/>
      <c r="C21" s="555" t="s">
        <v>39</v>
      </c>
      <c r="D21" s="556">
        <f t="shared" si="1"/>
        <v>433144.37</v>
      </c>
      <c r="E21" s="614">
        <v>19097.21</v>
      </c>
      <c r="F21" s="615" t="s">
        <v>21</v>
      </c>
      <c r="G21" s="615" t="s">
        <v>21</v>
      </c>
      <c r="H21" s="615">
        <v>74849.835</v>
      </c>
      <c r="I21" s="615">
        <v>167835.33</v>
      </c>
      <c r="J21" s="615">
        <v>45393.715</v>
      </c>
      <c r="K21" s="615" t="s">
        <v>21</v>
      </c>
      <c r="L21" s="615" t="s">
        <v>21</v>
      </c>
      <c r="M21" s="615" t="s">
        <v>21</v>
      </c>
      <c r="N21" s="615" t="s">
        <v>21</v>
      </c>
      <c r="O21" s="615">
        <v>42128.32</v>
      </c>
      <c r="P21" s="615">
        <v>83839.95999999999</v>
      </c>
      <c r="Q21" s="560"/>
      <c r="S21" s="196"/>
      <c r="T21" s="16"/>
      <c r="U21" s="217"/>
      <c r="V21" s="217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84"/>
      <c r="AH21" s="185"/>
      <c r="AI21" s="84"/>
      <c r="AJ21" s="84"/>
      <c r="AK21" s="84"/>
      <c r="AL21" s="84"/>
      <c r="AM21" s="84"/>
    </row>
    <row r="22" spans="2:39" s="83" customFormat="1" ht="19.5" customHeight="1">
      <c r="B22" s="558"/>
      <c r="C22" s="555" t="s">
        <v>40</v>
      </c>
      <c r="D22" s="556">
        <f t="shared" si="1"/>
        <v>489935.2309999999</v>
      </c>
      <c r="E22" s="614">
        <v>3799.02</v>
      </c>
      <c r="F22" s="615">
        <v>343.56</v>
      </c>
      <c r="G22" s="615">
        <v>204.88</v>
      </c>
      <c r="H22" s="615">
        <v>94139.22</v>
      </c>
      <c r="I22" s="615">
        <v>184619.64299999998</v>
      </c>
      <c r="J22" s="615">
        <v>49682.43</v>
      </c>
      <c r="K22" s="615">
        <v>5006.475</v>
      </c>
      <c r="L22" s="615" t="s">
        <v>21</v>
      </c>
      <c r="M22" s="615">
        <v>99.74</v>
      </c>
      <c r="N22" s="615">
        <v>87.17</v>
      </c>
      <c r="O22" s="615">
        <v>35127.58</v>
      </c>
      <c r="P22" s="615">
        <v>116825.513</v>
      </c>
      <c r="Q22" s="560"/>
      <c r="S22" s="196"/>
      <c r="T22" s="16"/>
      <c r="U22" s="217"/>
      <c r="V22" s="217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84"/>
      <c r="AH22" s="185"/>
      <c r="AI22" s="84"/>
      <c r="AJ22" s="84"/>
      <c r="AK22" s="84"/>
      <c r="AL22" s="84"/>
      <c r="AM22" s="84"/>
    </row>
    <row r="23" spans="2:39" s="83" customFormat="1" ht="19.5" customHeight="1">
      <c r="B23" s="558"/>
      <c r="C23" s="555" t="s">
        <v>42</v>
      </c>
      <c r="D23" s="556">
        <f t="shared" si="1"/>
        <v>275267.78500000003</v>
      </c>
      <c r="E23" s="614" t="s">
        <v>21</v>
      </c>
      <c r="F23" s="615" t="s">
        <v>21</v>
      </c>
      <c r="G23" s="615" t="s">
        <v>21</v>
      </c>
      <c r="H23" s="615">
        <v>50450.20500000001</v>
      </c>
      <c r="I23" s="615">
        <v>66158.28</v>
      </c>
      <c r="J23" s="615">
        <v>64478.965</v>
      </c>
      <c r="K23" s="615" t="s">
        <v>21</v>
      </c>
      <c r="L23" s="615" t="s">
        <v>21</v>
      </c>
      <c r="M23" s="615" t="s">
        <v>21</v>
      </c>
      <c r="N23" s="615" t="s">
        <v>21</v>
      </c>
      <c r="O23" s="615">
        <v>66324.72</v>
      </c>
      <c r="P23" s="615">
        <v>27855.614999999998</v>
      </c>
      <c r="Q23" s="560"/>
      <c r="S23" s="277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185"/>
      <c r="AI23" s="84"/>
      <c r="AJ23" s="84"/>
      <c r="AK23" s="84"/>
      <c r="AL23" s="84"/>
      <c r="AM23" s="84"/>
    </row>
    <row r="24" spans="2:39" s="83" customFormat="1" ht="19.5" customHeight="1">
      <c r="B24" s="558"/>
      <c r="C24" s="555" t="s">
        <v>43</v>
      </c>
      <c r="D24" s="556">
        <f t="shared" si="1"/>
        <v>386616.535</v>
      </c>
      <c r="E24" s="614" t="s">
        <v>21</v>
      </c>
      <c r="F24" s="615" t="s">
        <v>21</v>
      </c>
      <c r="G24" s="615">
        <v>35.22</v>
      </c>
      <c r="H24" s="615">
        <v>67833.315</v>
      </c>
      <c r="I24" s="615">
        <v>84020.65</v>
      </c>
      <c r="J24" s="615">
        <v>66513.83099999999</v>
      </c>
      <c r="K24" s="615">
        <v>455.642</v>
      </c>
      <c r="L24" s="615">
        <v>330.373</v>
      </c>
      <c r="M24" s="615">
        <v>165.396</v>
      </c>
      <c r="N24" s="615" t="s">
        <v>21</v>
      </c>
      <c r="O24" s="615">
        <v>100307.538</v>
      </c>
      <c r="P24" s="615">
        <v>66954.57</v>
      </c>
      <c r="Q24" s="560"/>
      <c r="S24" s="196"/>
      <c r="T24" s="16"/>
      <c r="U24" s="217"/>
      <c r="V24" s="217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84"/>
      <c r="AH24" s="185"/>
      <c r="AI24" s="84"/>
      <c r="AJ24" s="84"/>
      <c r="AK24" s="84"/>
      <c r="AL24" s="84"/>
      <c r="AM24" s="84"/>
    </row>
    <row r="25" spans="2:39" s="83" customFormat="1" ht="19.5" customHeight="1">
      <c r="B25" s="558"/>
      <c r="C25" s="555" t="s">
        <v>44</v>
      </c>
      <c r="D25" s="556">
        <f t="shared" si="1"/>
        <v>9484.865</v>
      </c>
      <c r="E25" s="614">
        <v>898.08</v>
      </c>
      <c r="F25" s="615">
        <v>5236.99</v>
      </c>
      <c r="G25" s="615" t="s">
        <v>21</v>
      </c>
      <c r="H25" s="615" t="s">
        <v>21</v>
      </c>
      <c r="I25" s="615" t="s">
        <v>21</v>
      </c>
      <c r="J25" s="615">
        <v>2225.81</v>
      </c>
      <c r="K25" s="615">
        <v>1123.985</v>
      </c>
      <c r="L25" s="615" t="s">
        <v>21</v>
      </c>
      <c r="M25" s="615" t="s">
        <v>21</v>
      </c>
      <c r="N25" s="615" t="s">
        <v>21</v>
      </c>
      <c r="O25" s="615" t="s">
        <v>21</v>
      </c>
      <c r="P25" s="615" t="s">
        <v>21</v>
      </c>
      <c r="Q25" s="560"/>
      <c r="S25" s="277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185"/>
      <c r="AI25" s="84"/>
      <c r="AJ25" s="84"/>
      <c r="AK25" s="84"/>
      <c r="AL25" s="84"/>
      <c r="AM25" s="84"/>
    </row>
    <row r="26" spans="2:39" s="83" customFormat="1" ht="19.5" customHeight="1">
      <c r="B26" s="558"/>
      <c r="C26" s="555" t="s">
        <v>45</v>
      </c>
      <c r="D26" s="556">
        <f t="shared" si="1"/>
        <v>25888.71</v>
      </c>
      <c r="E26" s="614" t="s">
        <v>21</v>
      </c>
      <c r="F26" s="615">
        <v>12688.405</v>
      </c>
      <c r="G26" s="615">
        <v>40.38</v>
      </c>
      <c r="H26" s="615" t="s">
        <v>21</v>
      </c>
      <c r="I26" s="615" t="s">
        <v>21</v>
      </c>
      <c r="J26" s="615">
        <v>1263.11</v>
      </c>
      <c r="K26" s="615">
        <v>11721.705</v>
      </c>
      <c r="L26" s="615">
        <v>165.405</v>
      </c>
      <c r="M26" s="615" t="s">
        <v>21</v>
      </c>
      <c r="N26" s="615">
        <v>9.705</v>
      </c>
      <c r="O26" s="615" t="s">
        <v>21</v>
      </c>
      <c r="P26" s="615" t="s">
        <v>21</v>
      </c>
      <c r="Q26" s="560"/>
      <c r="S26" s="277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185"/>
      <c r="AI26" s="84"/>
      <c r="AJ26" s="84"/>
      <c r="AK26" s="84"/>
      <c r="AL26" s="84"/>
      <c r="AM26" s="84"/>
    </row>
    <row r="27" spans="2:39" s="83" customFormat="1" ht="19.5" customHeight="1">
      <c r="B27" s="558"/>
      <c r="C27" s="555" t="s">
        <v>130</v>
      </c>
      <c r="D27" s="556" t="s">
        <v>21</v>
      </c>
      <c r="E27" s="614" t="s">
        <v>21</v>
      </c>
      <c r="F27" s="615" t="s">
        <v>21</v>
      </c>
      <c r="G27" s="615" t="s">
        <v>21</v>
      </c>
      <c r="H27" s="615" t="s">
        <v>21</v>
      </c>
      <c r="I27" s="615" t="s">
        <v>21</v>
      </c>
      <c r="J27" s="615" t="s">
        <v>21</v>
      </c>
      <c r="K27" s="615" t="s">
        <v>21</v>
      </c>
      <c r="L27" s="615" t="s">
        <v>21</v>
      </c>
      <c r="M27" s="615" t="s">
        <v>21</v>
      </c>
      <c r="N27" s="615" t="s">
        <v>21</v>
      </c>
      <c r="O27" s="615" t="s">
        <v>21</v>
      </c>
      <c r="P27" s="615" t="s">
        <v>21</v>
      </c>
      <c r="Q27" s="560"/>
      <c r="S27" s="196"/>
      <c r="T27" s="16"/>
      <c r="U27" s="217"/>
      <c r="V27" s="217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84"/>
      <c r="AH27" s="185"/>
      <c r="AI27" s="84"/>
      <c r="AJ27" s="84"/>
      <c r="AK27" s="84"/>
      <c r="AL27" s="84"/>
      <c r="AM27" s="84"/>
    </row>
    <row r="28" spans="2:39" s="83" customFormat="1" ht="19.5" customHeight="1">
      <c r="B28" s="558"/>
      <c r="C28" s="555" t="s">
        <v>46</v>
      </c>
      <c r="D28" s="556">
        <f t="shared" si="1"/>
        <v>42349.65</v>
      </c>
      <c r="E28" s="614">
        <v>1519.265</v>
      </c>
      <c r="F28" s="615">
        <v>6168.555</v>
      </c>
      <c r="G28" s="615">
        <v>2647.67</v>
      </c>
      <c r="H28" s="615" t="s">
        <v>21</v>
      </c>
      <c r="I28" s="615" t="s">
        <v>21</v>
      </c>
      <c r="J28" s="615">
        <v>18839.375</v>
      </c>
      <c r="K28" s="615">
        <v>13059.15</v>
      </c>
      <c r="L28" s="615">
        <v>115.635</v>
      </c>
      <c r="M28" s="615" t="s">
        <v>21</v>
      </c>
      <c r="N28" s="615" t="s">
        <v>21</v>
      </c>
      <c r="O28" s="615" t="s">
        <v>21</v>
      </c>
      <c r="P28" s="615" t="s">
        <v>21</v>
      </c>
      <c r="Q28" s="560"/>
      <c r="S28" s="196"/>
      <c r="T28" s="16"/>
      <c r="U28" s="217"/>
      <c r="V28" s="21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84"/>
      <c r="AH28" s="185"/>
      <c r="AI28" s="84"/>
      <c r="AJ28" s="84"/>
      <c r="AK28" s="84"/>
      <c r="AL28" s="84"/>
      <c r="AM28" s="84"/>
    </row>
    <row r="29" spans="2:39" s="83" customFormat="1" ht="19.5" customHeight="1">
      <c r="B29" s="558"/>
      <c r="C29" s="555" t="s">
        <v>47</v>
      </c>
      <c r="D29" s="556">
        <f t="shared" si="1"/>
        <v>23746.550000000003</v>
      </c>
      <c r="E29" s="614" t="s">
        <v>21</v>
      </c>
      <c r="F29" s="615">
        <v>5352.345</v>
      </c>
      <c r="G29" s="615" t="s">
        <v>21</v>
      </c>
      <c r="H29" s="615" t="s">
        <v>21</v>
      </c>
      <c r="I29" s="615" t="s">
        <v>21</v>
      </c>
      <c r="J29" s="615">
        <v>10471.765</v>
      </c>
      <c r="K29" s="615">
        <v>7886.22</v>
      </c>
      <c r="L29" s="615">
        <v>36.22</v>
      </c>
      <c r="M29" s="615" t="s">
        <v>21</v>
      </c>
      <c r="N29" s="615" t="s">
        <v>21</v>
      </c>
      <c r="O29" s="615" t="s">
        <v>21</v>
      </c>
      <c r="P29" s="615" t="s">
        <v>21</v>
      </c>
      <c r="Q29" s="560"/>
      <c r="S29" s="196"/>
      <c r="T29" s="16"/>
      <c r="U29" s="217"/>
      <c r="V29" s="217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84"/>
      <c r="AH29" s="185"/>
      <c r="AI29" s="84"/>
      <c r="AJ29" s="84"/>
      <c r="AK29" s="84"/>
      <c r="AL29" s="84"/>
      <c r="AM29" s="84"/>
    </row>
    <row r="30" spans="2:39" s="83" customFormat="1" ht="19.5" customHeight="1">
      <c r="B30" s="558"/>
      <c r="C30" s="555" t="s">
        <v>48</v>
      </c>
      <c r="D30" s="556">
        <f t="shared" si="1"/>
        <v>132698.27</v>
      </c>
      <c r="E30" s="614">
        <v>2084.84</v>
      </c>
      <c r="F30" s="615">
        <v>45322.91</v>
      </c>
      <c r="G30" s="615">
        <v>16476.435</v>
      </c>
      <c r="H30" s="615">
        <v>3173.375</v>
      </c>
      <c r="I30" s="615">
        <v>3367.38</v>
      </c>
      <c r="J30" s="615">
        <v>24236.214999999997</v>
      </c>
      <c r="K30" s="615">
        <v>22761.555</v>
      </c>
      <c r="L30" s="615">
        <v>755.32</v>
      </c>
      <c r="M30" s="615" t="s">
        <v>21</v>
      </c>
      <c r="N30" s="615">
        <v>5510.39</v>
      </c>
      <c r="O30" s="615">
        <v>9009.85</v>
      </c>
      <c r="P30" s="615" t="s">
        <v>21</v>
      </c>
      <c r="Q30" s="560"/>
      <c r="S30" s="272"/>
      <c r="T30" s="16"/>
      <c r="U30" s="217"/>
      <c r="V30" s="217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84"/>
      <c r="AH30" s="185"/>
      <c r="AI30" s="84"/>
      <c r="AJ30" s="84"/>
      <c r="AK30" s="84"/>
      <c r="AL30" s="84"/>
      <c r="AM30" s="84"/>
    </row>
    <row r="31" spans="2:39" s="83" customFormat="1" ht="19.5" customHeight="1">
      <c r="B31" s="558"/>
      <c r="C31" s="555"/>
      <c r="D31" s="556"/>
      <c r="E31" s="614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560"/>
      <c r="S31" s="272"/>
      <c r="T31" s="16"/>
      <c r="U31" s="217"/>
      <c r="V31" s="217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84"/>
      <c r="AH31" s="185"/>
      <c r="AI31" s="84"/>
      <c r="AJ31" s="84"/>
      <c r="AK31" s="84"/>
      <c r="AL31" s="84"/>
      <c r="AM31" s="84"/>
    </row>
    <row r="32" spans="2:39" s="83" customFormat="1" ht="15">
      <c r="B32" s="561"/>
      <c r="C32" s="562"/>
      <c r="D32" s="616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4"/>
      <c r="S32" s="272"/>
      <c r="T32" s="16"/>
      <c r="U32" s="217"/>
      <c r="V32" s="217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84"/>
      <c r="AH32" s="84"/>
      <c r="AI32" s="84"/>
      <c r="AJ32" s="84"/>
      <c r="AK32" s="84"/>
      <c r="AL32" s="84"/>
      <c r="AM32" s="84"/>
    </row>
    <row r="33" spans="2:39" s="39" customFormat="1" ht="15">
      <c r="B33" s="41" t="s">
        <v>267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S33" s="272"/>
      <c r="T33" s="44"/>
      <c r="U33" s="217"/>
      <c r="V33" s="217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2:39" s="39" customFormat="1" ht="15">
      <c r="B34" s="39" t="s">
        <v>146</v>
      </c>
      <c r="S34" s="217"/>
      <c r="T34" s="44"/>
      <c r="U34" s="217"/>
      <c r="V34" s="217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34:39" s="5" customFormat="1" ht="12.75">
      <c r="AH35" s="291"/>
      <c r="AI35" s="291"/>
      <c r="AJ35" s="291"/>
      <c r="AK35" s="291"/>
      <c r="AL35" s="291"/>
      <c r="AM35" s="291"/>
    </row>
    <row r="36" spans="34:39" s="5" customFormat="1" ht="12.75">
      <c r="AH36" s="291"/>
      <c r="AI36" s="291"/>
      <c r="AJ36" s="291"/>
      <c r="AK36" s="291"/>
      <c r="AL36" s="291"/>
      <c r="AM36" s="291"/>
    </row>
    <row r="37" spans="34:39" s="5" customFormat="1" ht="12.75">
      <c r="AH37" s="291"/>
      <c r="AI37" s="291"/>
      <c r="AJ37" s="291"/>
      <c r="AK37" s="291"/>
      <c r="AL37" s="291"/>
      <c r="AM37" s="291"/>
    </row>
    <row r="38" spans="34:39" s="5" customFormat="1" ht="12.75">
      <c r="AH38" s="291"/>
      <c r="AI38" s="291"/>
      <c r="AJ38" s="291"/>
      <c r="AK38" s="291"/>
      <c r="AL38" s="291"/>
      <c r="AM38" s="291"/>
    </row>
    <row r="39" spans="34:39" s="5" customFormat="1" ht="12.75">
      <c r="AH39" s="291"/>
      <c r="AI39" s="291"/>
      <c r="AJ39" s="291"/>
      <c r="AK39" s="291"/>
      <c r="AL39" s="291"/>
      <c r="AM39" s="291"/>
    </row>
    <row r="40" spans="19:39" s="5" customFormat="1" ht="15">
      <c r="S40" s="217"/>
      <c r="T40" s="291"/>
      <c r="U40" s="217"/>
      <c r="V40" s="217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302"/>
      <c r="AH40" s="291"/>
      <c r="AI40" s="291"/>
      <c r="AJ40" s="291"/>
      <c r="AK40" s="291"/>
      <c r="AL40" s="291"/>
      <c r="AM40" s="291"/>
    </row>
    <row r="41" spans="19:39" s="5" customFormat="1" ht="15">
      <c r="S41" s="217"/>
      <c r="T41" s="291"/>
      <c r="U41" s="217"/>
      <c r="V41" s="217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302"/>
      <c r="AH41" s="291"/>
      <c r="AI41" s="291"/>
      <c r="AJ41" s="291"/>
      <c r="AK41" s="291"/>
      <c r="AL41" s="291"/>
      <c r="AM41" s="291"/>
    </row>
    <row r="42" spans="19:39" s="5" customFormat="1" ht="15">
      <c r="S42" s="217"/>
      <c r="T42" s="291"/>
      <c r="U42" s="217"/>
      <c r="V42" s="217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302"/>
      <c r="AH42" s="291"/>
      <c r="AI42" s="291"/>
      <c r="AJ42" s="291"/>
      <c r="AK42" s="291"/>
      <c r="AL42" s="291"/>
      <c r="AM42" s="291"/>
    </row>
    <row r="43" spans="19:32" ht="15">
      <c r="S43" s="103"/>
      <c r="T43" s="238"/>
      <c r="U43" s="103"/>
      <c r="V43" s="103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</row>
    <row r="53" spans="52:66" ht="15">
      <c r="AZ53" s="281"/>
      <c r="BA53" s="186"/>
      <c r="BB53" s="281"/>
      <c r="BC53" s="281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305"/>
    </row>
    <row r="54" spans="52:66" ht="15">
      <c r="AZ54" s="303" t="s">
        <v>24</v>
      </c>
      <c r="BA54" s="303" t="s">
        <v>25</v>
      </c>
      <c r="BB54" s="303" t="s">
        <v>4</v>
      </c>
      <c r="BC54" s="303" t="s">
        <v>5</v>
      </c>
      <c r="BD54" s="303" t="s">
        <v>6</v>
      </c>
      <c r="BE54" s="303" t="s">
        <v>7</v>
      </c>
      <c r="BF54" s="303" t="s">
        <v>8</v>
      </c>
      <c r="BG54" s="303" t="s">
        <v>9</v>
      </c>
      <c r="BH54" s="303" t="s">
        <v>10</v>
      </c>
      <c r="BI54" s="303" t="s">
        <v>11</v>
      </c>
      <c r="BJ54" s="303" t="s">
        <v>12</v>
      </c>
      <c r="BK54" s="304" t="s">
        <v>13</v>
      </c>
      <c r="BL54" s="186"/>
      <c r="BM54" s="186"/>
      <c r="BN54" s="305"/>
    </row>
    <row r="55" spans="52:66" ht="15">
      <c r="AZ55" s="303">
        <v>688406.8479999999</v>
      </c>
      <c r="BA55" s="303">
        <v>76954.826</v>
      </c>
      <c r="BB55" s="303">
        <v>23087.324500000002</v>
      </c>
      <c r="BC55" s="303">
        <v>1096108.1439999999</v>
      </c>
      <c r="BD55" s="303">
        <v>1646507.8439999998</v>
      </c>
      <c r="BE55" s="303">
        <v>567302.452</v>
      </c>
      <c r="BF55" s="303">
        <v>62087.235</v>
      </c>
      <c r="BG55" s="303">
        <v>1907.1950000000002</v>
      </c>
      <c r="BH55" s="303">
        <v>807.002</v>
      </c>
      <c r="BI55" s="303">
        <v>6597.176</v>
      </c>
      <c r="BJ55" s="303">
        <v>868171.1825999998</v>
      </c>
      <c r="BK55" s="303">
        <v>1034950.6099999999</v>
      </c>
      <c r="BL55" s="281"/>
      <c r="BM55" s="186"/>
      <c r="BN55" s="305"/>
    </row>
    <row r="56" spans="52:66" ht="15">
      <c r="AZ56" s="281"/>
      <c r="BA56" s="186"/>
      <c r="BB56" s="281"/>
      <c r="BC56" s="281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305"/>
    </row>
    <row r="57" spans="52:66" ht="15">
      <c r="AZ57" s="281"/>
      <c r="BA57" s="186"/>
      <c r="BB57" s="281"/>
      <c r="BC57" s="281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305"/>
    </row>
    <row r="68" ht="15">
      <c r="C68" s="39" t="s">
        <v>146</v>
      </c>
    </row>
    <row r="84" spans="18:24" ht="15">
      <c r="R84" s="102"/>
      <c r="S84" s="103"/>
      <c r="U84" s="103"/>
      <c r="V84" s="103"/>
      <c r="W84" s="238"/>
      <c r="X84" s="238"/>
    </row>
    <row r="85" spans="18:24" ht="15">
      <c r="R85" s="102"/>
      <c r="S85" s="103"/>
      <c r="U85" s="103"/>
      <c r="V85" s="103"/>
      <c r="W85" s="238"/>
      <c r="X85" s="238"/>
    </row>
    <row r="86" spans="18:24" ht="15">
      <c r="R86" s="102"/>
      <c r="S86" s="103"/>
      <c r="U86" s="103"/>
      <c r="V86" s="103"/>
      <c r="W86" s="238"/>
      <c r="X86" s="238"/>
    </row>
    <row r="87" spans="5:24" ht="15">
      <c r="E87" s="78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102"/>
      <c r="S87" s="103"/>
      <c r="U87" s="103"/>
      <c r="V87" s="103"/>
      <c r="W87" s="238"/>
      <c r="X87" s="238"/>
    </row>
    <row r="88" spans="5:24" ht="15">
      <c r="E88" s="78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5"/>
      <c r="Q88" s="5"/>
      <c r="R88" s="102"/>
      <c r="S88" s="282"/>
      <c r="U88" s="283"/>
      <c r="V88" s="103"/>
      <c r="W88" s="238"/>
      <c r="X88" s="238"/>
    </row>
    <row r="89" spans="5:24" ht="15">
      <c r="E89" s="78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5"/>
      <c r="Q89" s="5"/>
      <c r="R89" s="102"/>
      <c r="S89" s="282"/>
      <c r="U89" s="240"/>
      <c r="V89" s="103"/>
      <c r="W89" s="238"/>
      <c r="X89" s="238"/>
    </row>
    <row r="90" spans="5:24" ht="15">
      <c r="E90" s="78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5"/>
      <c r="Q90" s="5"/>
      <c r="R90" s="102"/>
      <c r="S90" s="103"/>
      <c r="U90" s="284"/>
      <c r="V90" s="240"/>
      <c r="W90" s="238"/>
      <c r="X90" s="238"/>
    </row>
    <row r="91" spans="5:24" ht="15">
      <c r="E91" s="78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5"/>
      <c r="Q91" s="5"/>
      <c r="R91" s="102"/>
      <c r="S91" s="103"/>
      <c r="U91" s="284"/>
      <c r="V91" s="240"/>
      <c r="W91" s="238"/>
      <c r="X91" s="238"/>
    </row>
    <row r="92" spans="5:24" ht="15">
      <c r="E92" s="78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5"/>
      <c r="Q92" s="5"/>
      <c r="R92" s="102"/>
      <c r="S92" s="103"/>
      <c r="U92" s="284"/>
      <c r="V92" s="240"/>
      <c r="W92" s="238"/>
      <c r="X92" s="238"/>
    </row>
    <row r="93" spans="5:24" ht="15">
      <c r="E93" s="78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5"/>
      <c r="Q93" s="5"/>
      <c r="R93" s="102"/>
      <c r="S93" s="103"/>
      <c r="U93" s="284"/>
      <c r="V93" s="285"/>
      <c r="W93" s="238"/>
      <c r="X93" s="238"/>
    </row>
    <row r="94" spans="5:24" ht="15">
      <c r="E94" s="78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5"/>
      <c r="Q94" s="5"/>
      <c r="R94" s="102"/>
      <c r="S94" s="103"/>
      <c r="U94" s="284"/>
      <c r="V94" s="240"/>
      <c r="W94" s="238"/>
      <c r="X94" s="238"/>
    </row>
    <row r="95" spans="5:24" ht="15">
      <c r="E95" s="78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5"/>
      <c r="Q95" s="5"/>
      <c r="R95" s="102"/>
      <c r="S95" s="103"/>
      <c r="U95" s="284"/>
      <c r="V95" s="240"/>
      <c r="W95" s="238"/>
      <c r="X95" s="238"/>
    </row>
    <row r="96" spans="16:24" ht="15">
      <c r="P96" s="5"/>
      <c r="Q96" s="5"/>
      <c r="R96" s="102"/>
      <c r="S96" s="103"/>
      <c r="U96" s="284"/>
      <c r="V96" s="240"/>
      <c r="W96" s="238"/>
      <c r="X96" s="238"/>
    </row>
    <row r="97" spans="16:24" ht="15">
      <c r="P97" s="5"/>
      <c r="Q97" s="5"/>
      <c r="R97" s="102"/>
      <c r="S97" s="103"/>
      <c r="U97" s="284"/>
      <c r="V97" s="240"/>
      <c r="W97" s="238"/>
      <c r="X97" s="238"/>
    </row>
    <row r="98" spans="16:24" ht="15">
      <c r="P98" s="5"/>
      <c r="Q98" s="5"/>
      <c r="R98" s="102"/>
      <c r="S98" s="103"/>
      <c r="U98" s="284"/>
      <c r="V98" s="240"/>
      <c r="W98" s="238"/>
      <c r="X98" s="238"/>
    </row>
    <row r="99" spans="16:24" ht="15">
      <c r="P99" s="5"/>
      <c r="Q99" s="5"/>
      <c r="R99" s="102"/>
      <c r="S99" s="103"/>
      <c r="U99" s="284"/>
      <c r="V99" s="240"/>
      <c r="W99" s="238"/>
      <c r="X99" s="238"/>
    </row>
    <row r="100" spans="16:24" ht="15">
      <c r="P100" s="5"/>
      <c r="Q100" s="5"/>
      <c r="R100" s="102"/>
      <c r="S100" s="103"/>
      <c r="U100" s="284"/>
      <c r="V100" s="240"/>
      <c r="W100" s="238"/>
      <c r="X100" s="238"/>
    </row>
    <row r="101" spans="16:24" ht="15">
      <c r="P101" s="5"/>
      <c r="Q101" s="5"/>
      <c r="R101" s="102"/>
      <c r="S101" s="103"/>
      <c r="U101" s="284"/>
      <c r="V101" s="240"/>
      <c r="W101" s="238"/>
      <c r="X101" s="238"/>
    </row>
    <row r="102" spans="16:24" ht="15">
      <c r="P102" s="5"/>
      <c r="Q102" s="5"/>
      <c r="R102" s="102"/>
      <c r="S102" s="103"/>
      <c r="U102" s="284"/>
      <c r="V102" s="240"/>
      <c r="W102" s="238"/>
      <c r="X102" s="238"/>
    </row>
    <row r="103" spans="16:24" ht="15">
      <c r="P103" s="5"/>
      <c r="Q103" s="5"/>
      <c r="R103" s="102"/>
      <c r="S103" s="103"/>
      <c r="U103" s="284"/>
      <c r="V103" s="240"/>
      <c r="W103" s="238"/>
      <c r="X103" s="238"/>
    </row>
    <row r="104" spans="16:24" ht="15">
      <c r="P104" s="5"/>
      <c r="Q104" s="5"/>
      <c r="R104" s="102"/>
      <c r="S104" s="103"/>
      <c r="U104" s="284"/>
      <c r="V104" s="240"/>
      <c r="W104" s="238"/>
      <c r="X104" s="238"/>
    </row>
    <row r="105" spans="16:24" ht="15">
      <c r="P105" s="5"/>
      <c r="Q105" s="5"/>
      <c r="R105" s="102"/>
      <c r="S105" s="103"/>
      <c r="U105" s="284"/>
      <c r="V105" s="240"/>
      <c r="W105" s="238"/>
      <c r="X105" s="238"/>
    </row>
    <row r="106" spans="16:24" ht="15">
      <c r="P106" s="5"/>
      <c r="Q106" s="5"/>
      <c r="R106" s="102"/>
      <c r="S106" s="103"/>
      <c r="U106" s="284"/>
      <c r="V106" s="240"/>
      <c r="W106" s="238"/>
      <c r="X106" s="238"/>
    </row>
    <row r="107" spans="16:24" ht="15">
      <c r="P107" s="5"/>
      <c r="Q107" s="5"/>
      <c r="R107" s="102"/>
      <c r="S107" s="103"/>
      <c r="U107" s="240"/>
      <c r="V107" s="240"/>
      <c r="W107" s="238"/>
      <c r="X107" s="238"/>
    </row>
    <row r="108" spans="16:24" ht="15">
      <c r="P108" s="5"/>
      <c r="Q108" s="5"/>
      <c r="R108" s="102"/>
      <c r="S108" s="103"/>
      <c r="U108" s="240"/>
      <c r="V108" s="240"/>
      <c r="W108" s="238"/>
      <c r="X108" s="238"/>
    </row>
    <row r="109" spans="16:24" ht="15">
      <c r="P109" s="5"/>
      <c r="Q109" s="5"/>
      <c r="R109" s="102"/>
      <c r="S109" s="103"/>
      <c r="U109" s="240"/>
      <c r="V109" s="240"/>
      <c r="W109" s="238"/>
      <c r="X109" s="238"/>
    </row>
    <row r="110" spans="18:24" ht="15">
      <c r="R110" s="102"/>
      <c r="S110" s="103"/>
      <c r="U110" s="240"/>
      <c r="V110" s="240"/>
      <c r="W110" s="238"/>
      <c r="X110" s="238"/>
    </row>
    <row r="111" spans="18:24" ht="15">
      <c r="R111" s="102"/>
      <c r="S111" s="240"/>
      <c r="U111" s="240"/>
      <c r="V111" s="240"/>
      <c r="W111" s="238"/>
      <c r="X111" s="238"/>
    </row>
    <row r="112" spans="18:24" ht="15">
      <c r="R112" s="102"/>
      <c r="S112" s="103"/>
      <c r="U112" s="240"/>
      <c r="V112" s="240"/>
      <c r="W112" s="238"/>
      <c r="X112" s="238"/>
    </row>
    <row r="113" spans="18:23" ht="15">
      <c r="R113" s="95"/>
      <c r="S113" s="184"/>
      <c r="U113" s="184"/>
      <c r="V113" s="184"/>
      <c r="W113" s="192"/>
    </row>
    <row r="114" spans="19:21" ht="15">
      <c r="S114" s="281"/>
      <c r="U114" s="281"/>
    </row>
    <row r="115" spans="19:21" ht="15">
      <c r="S115" s="281"/>
      <c r="U115" s="281"/>
    </row>
    <row r="116" spans="19:21" ht="15">
      <c r="S116" s="281"/>
      <c r="U116" s="281"/>
    </row>
    <row r="117" spans="19:21" ht="15">
      <c r="S117" s="281"/>
      <c r="U117" s="281"/>
    </row>
    <row r="118" spans="19:21" ht="15">
      <c r="S118" s="281"/>
      <c r="U118" s="281"/>
    </row>
  </sheetData>
  <sheetProtection/>
  <mergeCells count="5">
    <mergeCell ref="B7:C7"/>
    <mergeCell ref="B2:Q2"/>
    <mergeCell ref="B3:Q3"/>
    <mergeCell ref="B5:C5"/>
    <mergeCell ref="P5:Q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86"/>
  <sheetViews>
    <sheetView showGridLines="0" zoomScale="90" zoomScaleNormal="90" zoomScaleSheetLayoutView="80" workbookViewId="0" topLeftCell="A1">
      <selection activeCell="U23" sqref="U23"/>
    </sheetView>
  </sheetViews>
  <sheetFormatPr defaultColWidth="9.140625" defaultRowHeight="12.75"/>
  <cols>
    <col min="1" max="1" width="2.7109375" style="0" customWidth="1"/>
    <col min="2" max="2" width="0.85546875" style="0" customWidth="1"/>
    <col min="3" max="3" width="25.421875" style="0" customWidth="1"/>
    <col min="4" max="4" width="11.00390625" style="0" customWidth="1"/>
    <col min="5" max="16" width="10.7109375" style="0" customWidth="1"/>
    <col min="17" max="17" width="0.71875" style="0" customWidth="1"/>
    <col min="18" max="18" width="2.8515625" style="30" customWidth="1"/>
    <col min="19" max="19" width="14.7109375" style="46" customWidth="1"/>
    <col min="20" max="20" width="11.421875" style="200" customWidth="1"/>
    <col min="21" max="36" width="11.421875" style="209" customWidth="1"/>
    <col min="37" max="38" width="11.421875" style="30" customWidth="1"/>
  </cols>
  <sheetData>
    <row r="2" spans="2:38" s="4" customFormat="1" ht="16.5">
      <c r="B2" s="505" t="s">
        <v>305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33"/>
      <c r="S2" s="46"/>
      <c r="T2" s="200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33"/>
      <c r="AL2" s="33"/>
    </row>
    <row r="3" spans="2:38" s="4" customFormat="1" ht="16.5">
      <c r="B3" s="505" t="s">
        <v>145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33"/>
      <c r="S3" s="46"/>
      <c r="T3" s="200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33"/>
      <c r="AL3" s="33"/>
    </row>
    <row r="4" spans="18:38" s="4" customFormat="1" ht="15.75">
      <c r="R4" s="33"/>
      <c r="S4" s="46"/>
      <c r="T4" s="200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33"/>
      <c r="AL4" s="33"/>
    </row>
    <row r="5" spans="2:38" s="17" customFormat="1" ht="39" customHeight="1">
      <c r="B5" s="506" t="s">
        <v>134</v>
      </c>
      <c r="C5" s="507"/>
      <c r="D5" s="154" t="s">
        <v>1</v>
      </c>
      <c r="E5" s="154" t="s">
        <v>24</v>
      </c>
      <c r="F5" s="154" t="s">
        <v>49</v>
      </c>
      <c r="G5" s="154" t="s">
        <v>50</v>
      </c>
      <c r="H5" s="154" t="s">
        <v>51</v>
      </c>
      <c r="I5" s="154" t="s">
        <v>52</v>
      </c>
      <c r="J5" s="154" t="s">
        <v>53</v>
      </c>
      <c r="K5" s="154" t="s">
        <v>54</v>
      </c>
      <c r="L5" s="154" t="s">
        <v>55</v>
      </c>
      <c r="M5" s="154" t="s">
        <v>56</v>
      </c>
      <c r="N5" s="154" t="s">
        <v>57</v>
      </c>
      <c r="O5" s="154" t="s">
        <v>58</v>
      </c>
      <c r="P5" s="506" t="s">
        <v>59</v>
      </c>
      <c r="Q5" s="508"/>
      <c r="R5" s="34"/>
      <c r="S5" s="47"/>
      <c r="T5" s="202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34"/>
      <c r="AL5" s="34"/>
    </row>
    <row r="6" spans="2:38" s="18" customFormat="1" ht="15.75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35"/>
      <c r="S6" s="46"/>
      <c r="T6" s="200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35"/>
      <c r="AL6" s="35"/>
    </row>
    <row r="7" spans="2:38" s="18" customFormat="1" ht="19.5" customHeight="1">
      <c r="B7" s="509" t="s">
        <v>1</v>
      </c>
      <c r="C7" s="510"/>
      <c r="D7" s="155">
        <f>SUM(D9:D12)</f>
        <v>438.45949999999993</v>
      </c>
      <c r="E7" s="155">
        <f>SUM(E9:E12)</f>
        <v>0.63</v>
      </c>
      <c r="F7" s="155">
        <f aca="true" t="shared" si="0" ref="F7:P7">SUM(F9:F12)</f>
        <v>0</v>
      </c>
      <c r="G7" s="155">
        <f t="shared" si="0"/>
        <v>23.89</v>
      </c>
      <c r="H7" s="155">
        <f t="shared" si="0"/>
        <v>24.93</v>
      </c>
      <c r="I7" s="155">
        <f t="shared" si="0"/>
        <v>0</v>
      </c>
      <c r="J7" s="155">
        <f t="shared" si="0"/>
        <v>0</v>
      </c>
      <c r="K7" s="155">
        <f t="shared" si="0"/>
        <v>123.1695</v>
      </c>
      <c r="L7" s="155">
        <f t="shared" si="0"/>
        <v>245.76999999999998</v>
      </c>
      <c r="M7" s="155">
        <f t="shared" si="0"/>
        <v>0</v>
      </c>
      <c r="N7" s="155">
        <f t="shared" si="0"/>
        <v>20.07</v>
      </c>
      <c r="O7" s="155">
        <f t="shared" si="0"/>
        <v>0</v>
      </c>
      <c r="P7" s="155">
        <f t="shared" si="0"/>
        <v>0</v>
      </c>
      <c r="Q7" s="156"/>
      <c r="R7" s="35"/>
      <c r="S7" s="46"/>
      <c r="T7" s="205"/>
      <c r="U7" s="205"/>
      <c r="V7" s="205"/>
      <c r="W7" s="205"/>
      <c r="X7" s="205"/>
      <c r="Y7" s="205"/>
      <c r="Z7" s="205"/>
      <c r="AA7" s="205"/>
      <c r="AB7" s="205"/>
      <c r="AC7" s="204"/>
      <c r="AD7" s="204"/>
      <c r="AE7" s="204"/>
      <c r="AF7" s="204"/>
      <c r="AG7" s="204"/>
      <c r="AH7" s="204"/>
      <c r="AI7" s="204"/>
      <c r="AJ7" s="204"/>
      <c r="AK7" s="35"/>
      <c r="AL7" s="35"/>
    </row>
    <row r="8" spans="2:38" s="19" customFormat="1" ht="15.75">
      <c r="B8" s="68"/>
      <c r="C8" s="6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70"/>
      <c r="R8" s="36"/>
      <c r="S8" s="46"/>
      <c r="T8" s="205"/>
      <c r="U8" s="205"/>
      <c r="V8" s="205"/>
      <c r="W8" s="205"/>
      <c r="X8" s="205"/>
      <c r="Y8" s="205"/>
      <c r="Z8" s="205"/>
      <c r="AA8" s="205"/>
      <c r="AB8" s="205"/>
      <c r="AC8" s="206"/>
      <c r="AD8" s="206"/>
      <c r="AE8" s="206"/>
      <c r="AF8" s="206"/>
      <c r="AG8" s="206"/>
      <c r="AH8" s="206"/>
      <c r="AI8" s="206"/>
      <c r="AJ8" s="206"/>
      <c r="AK8" s="36"/>
      <c r="AL8" s="36"/>
    </row>
    <row r="9" spans="2:38" s="19" customFormat="1" ht="19.5" customHeight="1">
      <c r="B9" s="68"/>
      <c r="C9" s="96" t="s">
        <v>32</v>
      </c>
      <c r="D9" s="80">
        <f>SUM(E9:P9)</f>
        <v>0.63</v>
      </c>
      <c r="E9" s="80">
        <v>0.63</v>
      </c>
      <c r="F9" s="80" t="s">
        <v>21</v>
      </c>
      <c r="G9" s="80" t="s">
        <v>21</v>
      </c>
      <c r="H9" s="80" t="s">
        <v>21</v>
      </c>
      <c r="I9" s="80" t="s">
        <v>21</v>
      </c>
      <c r="J9" s="80" t="s">
        <v>21</v>
      </c>
      <c r="K9" s="80" t="s">
        <v>21</v>
      </c>
      <c r="L9" s="80" t="s">
        <v>21</v>
      </c>
      <c r="M9" s="80" t="s">
        <v>21</v>
      </c>
      <c r="N9" s="80" t="s">
        <v>21</v>
      </c>
      <c r="O9" s="80" t="s">
        <v>21</v>
      </c>
      <c r="P9" s="80" t="s">
        <v>21</v>
      </c>
      <c r="Q9" s="70"/>
      <c r="R9" s="36"/>
      <c r="S9" s="46"/>
      <c r="T9" s="207"/>
      <c r="U9" s="208"/>
      <c r="V9" s="208"/>
      <c r="W9" s="208"/>
      <c r="X9" s="208"/>
      <c r="Y9" s="208"/>
      <c r="Z9" s="208"/>
      <c r="AA9" s="208"/>
      <c r="AB9" s="208"/>
      <c r="AC9" s="206"/>
      <c r="AD9" s="206"/>
      <c r="AE9" s="206"/>
      <c r="AF9" s="206"/>
      <c r="AG9" s="206"/>
      <c r="AH9" s="206"/>
      <c r="AI9" s="206"/>
      <c r="AJ9" s="206"/>
      <c r="AK9" s="36"/>
      <c r="AL9" s="36"/>
    </row>
    <row r="10" spans="2:38" s="19" customFormat="1" ht="19.5" customHeight="1">
      <c r="B10" s="68"/>
      <c r="C10" s="96" t="s">
        <v>40</v>
      </c>
      <c r="D10" s="80">
        <f>SUM(E10:P10)</f>
        <v>142.19</v>
      </c>
      <c r="E10" s="80" t="s">
        <v>21</v>
      </c>
      <c r="F10" s="80" t="s">
        <v>21</v>
      </c>
      <c r="G10" s="80" t="s">
        <v>21</v>
      </c>
      <c r="H10" s="80" t="s">
        <v>21</v>
      </c>
      <c r="I10" s="80" t="s">
        <v>21</v>
      </c>
      <c r="J10" s="80" t="s">
        <v>21</v>
      </c>
      <c r="K10" s="80" t="s">
        <v>21</v>
      </c>
      <c r="L10" s="80">
        <v>142.19</v>
      </c>
      <c r="M10" s="80" t="s">
        <v>21</v>
      </c>
      <c r="N10" s="80" t="s">
        <v>21</v>
      </c>
      <c r="O10" s="80" t="s">
        <v>21</v>
      </c>
      <c r="P10" s="80" t="s">
        <v>21</v>
      </c>
      <c r="Q10" s="70"/>
      <c r="R10" s="36"/>
      <c r="S10" s="306"/>
      <c r="T10" s="207"/>
      <c r="U10" s="208"/>
      <c r="V10" s="208"/>
      <c r="W10" s="208"/>
      <c r="X10" s="208"/>
      <c r="Y10" s="208"/>
      <c r="Z10" s="208"/>
      <c r="AA10" s="208"/>
      <c r="AB10" s="208"/>
      <c r="AC10" s="206"/>
      <c r="AD10" s="206"/>
      <c r="AE10" s="206"/>
      <c r="AF10" s="206"/>
      <c r="AG10" s="206"/>
      <c r="AH10" s="206"/>
      <c r="AI10" s="206"/>
      <c r="AJ10" s="206"/>
      <c r="AK10" s="36"/>
      <c r="AL10" s="36"/>
    </row>
    <row r="11" spans="2:38" s="19" customFormat="1" ht="19.5" customHeight="1">
      <c r="B11" s="68"/>
      <c r="C11" s="96" t="s">
        <v>43</v>
      </c>
      <c r="D11" s="80">
        <f>SUM(E11:P11)</f>
        <v>171.9895</v>
      </c>
      <c r="E11" s="80" t="s">
        <v>21</v>
      </c>
      <c r="F11" s="80" t="s">
        <v>21</v>
      </c>
      <c r="G11" s="80">
        <v>23.89</v>
      </c>
      <c r="H11" s="80">
        <v>24.93</v>
      </c>
      <c r="I11" s="80" t="s">
        <v>21</v>
      </c>
      <c r="J11" s="80" t="s">
        <v>21</v>
      </c>
      <c r="K11" s="80">
        <v>123.1695</v>
      </c>
      <c r="L11" s="80" t="s">
        <v>21</v>
      </c>
      <c r="M11" s="80" t="s">
        <v>21</v>
      </c>
      <c r="N11" s="80" t="s">
        <v>21</v>
      </c>
      <c r="O11" s="80" t="s">
        <v>21</v>
      </c>
      <c r="P11" s="80" t="s">
        <v>21</v>
      </c>
      <c r="Q11" s="70"/>
      <c r="R11" s="36"/>
      <c r="S11" s="306"/>
      <c r="T11" s="207"/>
      <c r="U11" s="208"/>
      <c r="V11" s="208"/>
      <c r="W11" s="208"/>
      <c r="X11" s="208"/>
      <c r="Y11" s="208"/>
      <c r="Z11" s="208"/>
      <c r="AA11" s="208"/>
      <c r="AB11" s="208"/>
      <c r="AC11" s="206"/>
      <c r="AD11" s="206"/>
      <c r="AE11" s="206"/>
      <c r="AF11" s="206"/>
      <c r="AG11" s="206"/>
      <c r="AH11" s="206"/>
      <c r="AI11" s="206"/>
      <c r="AJ11" s="206"/>
      <c r="AK11" s="36"/>
      <c r="AL11" s="36"/>
    </row>
    <row r="12" spans="2:38" s="19" customFormat="1" ht="19.5" customHeight="1">
      <c r="B12" s="68"/>
      <c r="C12" s="96" t="s">
        <v>97</v>
      </c>
      <c r="D12" s="80">
        <f>SUM(E12:P12)</f>
        <v>123.65</v>
      </c>
      <c r="E12" s="80" t="s">
        <v>21</v>
      </c>
      <c r="F12" s="80" t="s">
        <v>21</v>
      </c>
      <c r="G12" s="80" t="s">
        <v>21</v>
      </c>
      <c r="H12" s="80" t="s">
        <v>21</v>
      </c>
      <c r="I12" s="80" t="s">
        <v>21</v>
      </c>
      <c r="J12" s="80" t="s">
        <v>21</v>
      </c>
      <c r="K12" s="80" t="s">
        <v>21</v>
      </c>
      <c r="L12" s="80">
        <v>103.58</v>
      </c>
      <c r="M12" s="80" t="s">
        <v>21</v>
      </c>
      <c r="N12" s="80">
        <v>20.07</v>
      </c>
      <c r="O12" s="80" t="s">
        <v>21</v>
      </c>
      <c r="P12" s="80" t="s">
        <v>21</v>
      </c>
      <c r="Q12" s="70"/>
      <c r="R12" s="36"/>
      <c r="S12" s="306"/>
      <c r="T12" s="207"/>
      <c r="U12" s="208"/>
      <c r="V12" s="208"/>
      <c r="W12" s="208"/>
      <c r="X12" s="208"/>
      <c r="Y12" s="208"/>
      <c r="Z12" s="208"/>
      <c r="AA12" s="208"/>
      <c r="AB12" s="208"/>
      <c r="AC12" s="206"/>
      <c r="AD12" s="206"/>
      <c r="AE12" s="206"/>
      <c r="AF12" s="206"/>
      <c r="AG12" s="206"/>
      <c r="AH12" s="206"/>
      <c r="AI12" s="206"/>
      <c r="AJ12" s="206"/>
      <c r="AK12" s="36"/>
      <c r="AL12" s="36"/>
    </row>
    <row r="13" spans="2:28" ht="15.75">
      <c r="B13" s="71"/>
      <c r="C13" s="72"/>
      <c r="D13" s="72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73"/>
      <c r="S13" s="97"/>
      <c r="T13" s="207"/>
      <c r="U13" s="208"/>
      <c r="V13" s="208"/>
      <c r="W13" s="208"/>
      <c r="X13" s="208"/>
      <c r="Y13" s="208"/>
      <c r="Z13" s="208"/>
      <c r="AA13" s="208"/>
      <c r="AB13" s="208"/>
    </row>
    <row r="14" spans="2:32" ht="15.75">
      <c r="B14" s="96" t="s">
        <v>269</v>
      </c>
      <c r="C14" s="69"/>
      <c r="D14" s="69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69"/>
      <c r="S14" s="412"/>
      <c r="T14" s="413"/>
      <c r="U14" s="414"/>
      <c r="V14" s="414"/>
      <c r="W14" s="414"/>
      <c r="X14" s="414"/>
      <c r="Y14" s="414"/>
      <c r="Z14" s="414"/>
      <c r="AA14" s="414"/>
      <c r="AB14" s="414"/>
      <c r="AC14" s="415"/>
      <c r="AD14" s="415"/>
      <c r="AE14" s="415"/>
      <c r="AF14" s="415"/>
    </row>
    <row r="15" spans="2:38" s="42" customFormat="1" ht="15.75">
      <c r="B15" s="42" t="s">
        <v>147</v>
      </c>
      <c r="C15" s="9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R15" s="43"/>
      <c r="S15" s="412"/>
      <c r="T15" s="416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210"/>
      <c r="AH15" s="210"/>
      <c r="AI15" s="210"/>
      <c r="AJ15" s="210"/>
      <c r="AK15" s="43"/>
      <c r="AL15" s="43"/>
    </row>
    <row r="16" spans="3:38" s="42" customFormat="1" ht="12.75">
      <c r="C16" s="98"/>
      <c r="R16" s="43"/>
      <c r="AG16" s="210"/>
      <c r="AH16" s="210"/>
      <c r="AI16" s="210"/>
      <c r="AJ16" s="210"/>
      <c r="AK16" s="43"/>
      <c r="AL16" s="43"/>
    </row>
    <row r="17" spans="3:38" s="42" customFormat="1" ht="12.75">
      <c r="C17" s="98"/>
      <c r="R17" s="43"/>
      <c r="AG17" s="210"/>
      <c r="AH17" s="210"/>
      <c r="AI17" s="210"/>
      <c r="AJ17" s="210"/>
      <c r="AK17" s="43"/>
      <c r="AL17" s="43"/>
    </row>
    <row r="18" spans="18:40" s="42" customFormat="1" ht="12">
      <c r="R18" s="43"/>
      <c r="AG18" s="210"/>
      <c r="AH18" s="210"/>
      <c r="AI18" s="210"/>
      <c r="AJ18" s="210"/>
      <c r="AK18" s="139"/>
      <c r="AL18" s="139"/>
      <c r="AM18" s="139"/>
      <c r="AN18" s="139"/>
    </row>
    <row r="19" spans="37:40" ht="15.75">
      <c r="AK19" s="140"/>
      <c r="AL19" s="140"/>
      <c r="AM19" s="140"/>
      <c r="AN19" s="140"/>
    </row>
    <row r="20" spans="37:40" ht="15.75">
      <c r="AK20" s="140"/>
      <c r="AL20" s="140"/>
      <c r="AM20" s="140"/>
      <c r="AN20" s="140"/>
    </row>
    <row r="21" spans="37:40" ht="15.75">
      <c r="AK21" s="140"/>
      <c r="AL21" s="140"/>
      <c r="AM21" s="140"/>
      <c r="AN21" s="140"/>
    </row>
    <row r="22" spans="37:40" ht="15.75">
      <c r="AK22" s="140"/>
      <c r="AL22" s="140"/>
      <c r="AM22" s="140"/>
      <c r="AN22" s="140"/>
    </row>
    <row r="24" ht="15.75">
      <c r="S24" s="182"/>
    </row>
    <row r="25" ht="15.75">
      <c r="S25" s="182"/>
    </row>
    <row r="38" ht="15.75">
      <c r="C38" s="42" t="s">
        <v>147</v>
      </c>
    </row>
    <row r="42" spans="19:36" s="98" customFormat="1" ht="15.75">
      <c r="S42" s="97"/>
      <c r="T42" s="617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618"/>
      <c r="AJ42" s="618"/>
    </row>
    <row r="43" spans="3:36" s="98" customFormat="1" ht="15.75">
      <c r="C43" s="412"/>
      <c r="D43" s="416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S43" s="97"/>
      <c r="T43" s="617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</row>
    <row r="44" spans="3:36" s="98" customFormat="1" ht="15.75">
      <c r="C44" s="412"/>
      <c r="D44" s="416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S44" s="97"/>
      <c r="T44" s="617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618"/>
    </row>
    <row r="45" spans="3:36" s="98" customFormat="1" ht="15.75">
      <c r="C45" s="412"/>
      <c r="D45" s="418" t="s">
        <v>2</v>
      </c>
      <c r="E45" s="419" t="s">
        <v>3</v>
      </c>
      <c r="F45" s="418" t="s">
        <v>4</v>
      </c>
      <c r="G45" s="419" t="s">
        <v>5</v>
      </c>
      <c r="H45" s="418" t="s">
        <v>6</v>
      </c>
      <c r="I45" s="419" t="s">
        <v>7</v>
      </c>
      <c r="J45" s="418" t="s">
        <v>8</v>
      </c>
      <c r="K45" s="419" t="s">
        <v>9</v>
      </c>
      <c r="L45" s="418" t="s">
        <v>143</v>
      </c>
      <c r="M45" s="419" t="s">
        <v>11</v>
      </c>
      <c r="N45" s="418" t="s">
        <v>12</v>
      </c>
      <c r="O45" s="419" t="s">
        <v>13</v>
      </c>
      <c r="P45" s="417"/>
      <c r="S45" s="97"/>
      <c r="T45" s="617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618"/>
    </row>
    <row r="46" spans="3:36" s="98" customFormat="1" ht="15.75">
      <c r="C46" s="420" t="s">
        <v>1</v>
      </c>
      <c r="D46" s="421">
        <v>0.63</v>
      </c>
      <c r="E46" s="421">
        <v>0</v>
      </c>
      <c r="F46" s="421">
        <v>23.89</v>
      </c>
      <c r="G46" s="421">
        <v>24.93</v>
      </c>
      <c r="H46" s="421">
        <v>0</v>
      </c>
      <c r="I46" s="421">
        <v>0</v>
      </c>
      <c r="J46" s="421">
        <v>123.1695</v>
      </c>
      <c r="K46" s="421">
        <v>245.76999999999998</v>
      </c>
      <c r="L46" s="421">
        <v>0</v>
      </c>
      <c r="M46" s="421">
        <v>20.07</v>
      </c>
      <c r="N46" s="421">
        <v>0</v>
      </c>
      <c r="O46" s="421">
        <v>0</v>
      </c>
      <c r="P46" s="415"/>
      <c r="S46" s="97"/>
      <c r="T46" s="617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</row>
    <row r="47" spans="3:36" s="98" customFormat="1" ht="15.75">
      <c r="C47" s="412"/>
      <c r="D47" s="422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S47" s="97"/>
      <c r="T47" s="617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</row>
    <row r="48" spans="3:36" s="98" customFormat="1" ht="15.75">
      <c r="C48" s="412"/>
      <c r="D48" s="422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5"/>
      <c r="P48" s="415"/>
      <c r="S48" s="97"/>
      <c r="T48" s="617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</row>
    <row r="49" spans="3:16" ht="15.75">
      <c r="C49" s="412"/>
      <c r="D49" s="422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5"/>
      <c r="P49" s="415"/>
    </row>
    <row r="50" spans="3:16" ht="15.75">
      <c r="C50" s="412"/>
      <c r="D50" s="416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</row>
    <row r="51" spans="18:19" ht="15.75">
      <c r="R51" s="98"/>
      <c r="S51" s="97"/>
    </row>
    <row r="52" spans="18:19" ht="15.75">
      <c r="R52" s="98"/>
      <c r="S52" s="97"/>
    </row>
    <row r="53" spans="18:19" ht="15.75">
      <c r="R53" s="98"/>
      <c r="S53" s="97"/>
    </row>
    <row r="54" spans="18:19" ht="15.75">
      <c r="R54" s="98"/>
      <c r="S54" s="97"/>
    </row>
    <row r="55" spans="18:19" ht="15.75">
      <c r="R55" s="98"/>
      <c r="S55" s="97"/>
    </row>
    <row r="56" spans="18:19" ht="15.75">
      <c r="R56" s="98"/>
      <c r="S56" s="97"/>
    </row>
    <row r="57" spans="18:19" ht="15.75">
      <c r="R57" s="98"/>
      <c r="S57" s="97"/>
    </row>
    <row r="58" spans="18:19" ht="15.75">
      <c r="R58" s="98"/>
      <c r="S58" s="97"/>
    </row>
    <row r="59" spans="18:19" ht="15.75">
      <c r="R59" s="98"/>
      <c r="S59" s="97"/>
    </row>
    <row r="60" spans="18:19" ht="15.75">
      <c r="R60" s="98"/>
      <c r="S60" s="97"/>
    </row>
    <row r="61" spans="3:19" ht="15.75">
      <c r="C61" s="42" t="s">
        <v>147</v>
      </c>
      <c r="R61" s="98"/>
      <c r="S61" s="97"/>
    </row>
    <row r="62" spans="18:19" ht="15.75">
      <c r="R62" s="98"/>
      <c r="S62" s="97"/>
    </row>
    <row r="63" spans="18:19" ht="15.75">
      <c r="R63" s="98"/>
      <c r="S63" s="97"/>
    </row>
    <row r="64" spans="18:19" ht="15.75">
      <c r="R64" s="98"/>
      <c r="S64" s="97"/>
    </row>
    <row r="65" spans="19:22" ht="15.75">
      <c r="S65" s="99"/>
      <c r="U65" s="200"/>
      <c r="V65" s="201"/>
    </row>
    <row r="66" spans="19:22" ht="15.75">
      <c r="S66" s="99"/>
      <c r="U66" s="200"/>
      <c r="V66" s="201"/>
    </row>
    <row r="67" spans="19:22" ht="15.75">
      <c r="S67" s="99"/>
      <c r="V67" s="201"/>
    </row>
    <row r="68" spans="19:22" ht="15.75">
      <c r="S68" s="99"/>
      <c r="V68" s="201"/>
    </row>
    <row r="69" spans="19:22" ht="15.75">
      <c r="S69" s="99"/>
      <c r="V69" s="201"/>
    </row>
    <row r="70" spans="19:22" ht="15.75">
      <c r="S70" s="99"/>
      <c r="U70" s="200"/>
      <c r="V70" s="201"/>
    </row>
    <row r="71" spans="19:22" ht="15.75">
      <c r="S71" s="99"/>
      <c r="U71" s="200"/>
      <c r="V71" s="201"/>
    </row>
    <row r="72" spans="19:22" ht="15.75">
      <c r="S72" s="99"/>
      <c r="U72" s="200"/>
      <c r="V72" s="201"/>
    </row>
    <row r="73" spans="19:22" ht="15.75">
      <c r="S73" s="4"/>
      <c r="U73" s="200"/>
      <c r="V73" s="201"/>
    </row>
    <row r="86" spans="18:21" ht="15.75">
      <c r="R86" s="4"/>
      <c r="S86" s="97"/>
      <c r="U86" s="201"/>
    </row>
  </sheetData>
  <sheetProtection/>
  <mergeCells count="5">
    <mergeCell ref="B5:C5"/>
    <mergeCell ref="P5:Q5"/>
    <mergeCell ref="B7:C7"/>
    <mergeCell ref="B2:Q2"/>
    <mergeCell ref="B3:Q3"/>
  </mergeCells>
  <printOptions horizontalCentered="1" verticalCentered="1"/>
  <pageMargins left="0.3937007874015748" right="0.3937007874015748" top="0.3937007874015748" bottom="0.3937007874015748" header="0" footer="0.3937007874015748"/>
  <pageSetup fitToHeight="1" fitToWidth="1" horizontalDpi="600" verticalDpi="600" orientation="portrait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AB60"/>
  <sheetViews>
    <sheetView showGridLines="0" zoomScalePageLayoutView="0" workbookViewId="0" topLeftCell="A1">
      <selection activeCell="T37" sqref="T37"/>
    </sheetView>
  </sheetViews>
  <sheetFormatPr defaultColWidth="9.140625" defaultRowHeight="12.75"/>
  <cols>
    <col min="1" max="1" width="1.28515625" style="0" customWidth="1"/>
    <col min="2" max="2" width="0.85546875" style="0" customWidth="1"/>
    <col min="3" max="3" width="16.140625" style="0" customWidth="1"/>
    <col min="4" max="4" width="13.57421875" style="0" customWidth="1"/>
    <col min="5" max="16" width="8.28125" style="0" customWidth="1"/>
    <col min="17" max="17" width="0.9921875" style="0" customWidth="1"/>
    <col min="18" max="18" width="11.421875" style="0" customWidth="1"/>
    <col min="19" max="28" width="11.421875" style="140" customWidth="1"/>
  </cols>
  <sheetData>
    <row r="3" spans="2:17" ht="16.5">
      <c r="B3" s="505" t="s">
        <v>295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</row>
    <row r="4" spans="2:17" ht="16.5">
      <c r="B4" s="505" t="s">
        <v>145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</row>
    <row r="5" spans="2:17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ht="15">
      <c r="B6" s="576" t="s">
        <v>274</v>
      </c>
      <c r="C6" s="577"/>
      <c r="D6" s="619" t="s">
        <v>1</v>
      </c>
      <c r="E6" s="619" t="s">
        <v>24</v>
      </c>
      <c r="F6" s="619" t="s">
        <v>49</v>
      </c>
      <c r="G6" s="619" t="s">
        <v>50</v>
      </c>
      <c r="H6" s="619" t="s">
        <v>51</v>
      </c>
      <c r="I6" s="619" t="s">
        <v>52</v>
      </c>
      <c r="J6" s="619" t="s">
        <v>53</v>
      </c>
      <c r="K6" s="619" t="s">
        <v>54</v>
      </c>
      <c r="L6" s="619" t="s">
        <v>55</v>
      </c>
      <c r="M6" s="619" t="s">
        <v>56</v>
      </c>
      <c r="N6" s="619" t="s">
        <v>57</v>
      </c>
      <c r="O6" s="619" t="s">
        <v>58</v>
      </c>
      <c r="P6" s="576" t="s">
        <v>59</v>
      </c>
      <c r="Q6" s="578"/>
    </row>
    <row r="7" spans="2:17" ht="15">
      <c r="B7" s="620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2"/>
    </row>
    <row r="8" spans="2:17" ht="15">
      <c r="B8" s="585" t="s">
        <v>1</v>
      </c>
      <c r="C8" s="586"/>
      <c r="D8" s="540">
        <f>SUM(D10:D13)</f>
        <v>56455.8117</v>
      </c>
      <c r="E8" s="540">
        <f>SUM(E10:E13)</f>
        <v>5254.514</v>
      </c>
      <c r="F8" s="540">
        <f aca="true" t="shared" si="0" ref="F8:P8">SUM(F10:F13)</f>
        <v>3384.428999999999</v>
      </c>
      <c r="G8" s="540">
        <f t="shared" si="0"/>
        <v>6429.500999999999</v>
      </c>
      <c r="H8" s="540">
        <f t="shared" si="0"/>
        <v>5346.033600000001</v>
      </c>
      <c r="I8" s="540">
        <f t="shared" si="0"/>
        <v>5275.951499999999</v>
      </c>
      <c r="J8" s="540">
        <f t="shared" si="0"/>
        <v>4764.204</v>
      </c>
      <c r="K8" s="540">
        <f t="shared" si="0"/>
        <v>4920.7936</v>
      </c>
      <c r="L8" s="540">
        <f t="shared" si="0"/>
        <v>5214.939</v>
      </c>
      <c r="M8" s="540">
        <f t="shared" si="0"/>
        <v>4574.525000000001</v>
      </c>
      <c r="N8" s="540">
        <f t="shared" si="0"/>
        <v>3925.009</v>
      </c>
      <c r="O8" s="540">
        <f t="shared" si="0"/>
        <v>4153.647000000001</v>
      </c>
      <c r="P8" s="540">
        <f t="shared" si="0"/>
        <v>3212.265</v>
      </c>
      <c r="Q8" s="623"/>
    </row>
    <row r="9" spans="2:17" ht="14.25">
      <c r="B9" s="624"/>
      <c r="C9" s="625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626"/>
    </row>
    <row r="10" spans="2:17" ht="14.25">
      <c r="B10" s="624"/>
      <c r="C10" s="625" t="s">
        <v>64</v>
      </c>
      <c r="D10" s="547">
        <f>SUM(E10:P10)</f>
        <v>19272.5807</v>
      </c>
      <c r="E10" s="547">
        <v>1873.14</v>
      </c>
      <c r="F10" s="547">
        <v>1831.7359999999996</v>
      </c>
      <c r="G10" s="547">
        <v>1057.491</v>
      </c>
      <c r="H10" s="547">
        <v>1164.9846</v>
      </c>
      <c r="I10" s="547">
        <v>1471.9214999999997</v>
      </c>
      <c r="J10" s="547">
        <v>1368.7209999999998</v>
      </c>
      <c r="K10" s="547">
        <v>1657.1296000000002</v>
      </c>
      <c r="L10" s="547">
        <v>1953.926</v>
      </c>
      <c r="M10" s="547">
        <v>1506.8799999999999</v>
      </c>
      <c r="N10" s="547">
        <v>1921.633</v>
      </c>
      <c r="O10" s="547">
        <v>2175.433</v>
      </c>
      <c r="P10" s="547">
        <v>1289.585</v>
      </c>
      <c r="Q10" s="626"/>
    </row>
    <row r="11" spans="2:17" ht="14.25">
      <c r="B11" s="624"/>
      <c r="C11" s="625" t="s">
        <v>287</v>
      </c>
      <c r="D11" s="547">
        <f>SUM(E11:P11)</f>
        <v>0</v>
      </c>
      <c r="E11" s="547" t="s">
        <v>21</v>
      </c>
      <c r="F11" s="547" t="s">
        <v>21</v>
      </c>
      <c r="G11" s="547" t="s">
        <v>21</v>
      </c>
      <c r="H11" s="547" t="s">
        <v>21</v>
      </c>
      <c r="I11" s="547" t="s">
        <v>21</v>
      </c>
      <c r="J11" s="547" t="s">
        <v>21</v>
      </c>
      <c r="K11" s="547" t="s">
        <v>21</v>
      </c>
      <c r="L11" s="547" t="s">
        <v>21</v>
      </c>
      <c r="M11" s="547" t="s">
        <v>21</v>
      </c>
      <c r="N11" s="547" t="s">
        <v>21</v>
      </c>
      <c r="O11" s="547" t="s">
        <v>21</v>
      </c>
      <c r="P11" s="547" t="s">
        <v>21</v>
      </c>
      <c r="Q11" s="627"/>
    </row>
    <row r="12" spans="2:17" ht="14.25">
      <c r="B12" s="624"/>
      <c r="C12" s="625" t="s">
        <v>275</v>
      </c>
      <c r="D12" s="547">
        <f>SUM(E12:P12)</f>
        <v>37167.049</v>
      </c>
      <c r="E12" s="547">
        <v>3381.19</v>
      </c>
      <c r="F12" s="547">
        <v>1552.6929999999998</v>
      </c>
      <c r="G12" s="547">
        <v>5372.009999999999</v>
      </c>
      <c r="H12" s="547">
        <v>4181.049000000001</v>
      </c>
      <c r="I12" s="547">
        <v>3800.1699999999996</v>
      </c>
      <c r="J12" s="547">
        <v>3393.11</v>
      </c>
      <c r="K12" s="547">
        <v>3261.84</v>
      </c>
      <c r="L12" s="547">
        <v>3259.1840000000007</v>
      </c>
      <c r="M12" s="547">
        <v>3064.675</v>
      </c>
      <c r="N12" s="547">
        <v>2002.1660000000002</v>
      </c>
      <c r="O12" s="547">
        <v>1977.7220000000002</v>
      </c>
      <c r="P12" s="547">
        <v>1921.2399999999998</v>
      </c>
      <c r="Q12" s="626"/>
    </row>
    <row r="13" spans="2:17" ht="14.25">
      <c r="B13" s="624"/>
      <c r="C13" s="625" t="s">
        <v>276</v>
      </c>
      <c r="D13" s="547">
        <f>SUM(E13:P13)</f>
        <v>16.182000000000002</v>
      </c>
      <c r="E13" s="547">
        <v>0.184</v>
      </c>
      <c r="F13" s="547" t="s">
        <v>21</v>
      </c>
      <c r="G13" s="547" t="s">
        <v>21</v>
      </c>
      <c r="H13" s="547" t="s">
        <v>21</v>
      </c>
      <c r="I13" s="547">
        <v>3.86</v>
      </c>
      <c r="J13" s="547">
        <v>2.373</v>
      </c>
      <c r="K13" s="547">
        <v>1.824</v>
      </c>
      <c r="L13" s="547">
        <v>1.829</v>
      </c>
      <c r="M13" s="547">
        <v>2.97</v>
      </c>
      <c r="N13" s="547">
        <v>1.21</v>
      </c>
      <c r="O13" s="547">
        <v>0.492</v>
      </c>
      <c r="P13" s="547">
        <v>1.44</v>
      </c>
      <c r="Q13" s="626"/>
    </row>
    <row r="14" spans="2:17" ht="14.25">
      <c r="B14" s="628"/>
      <c r="C14" s="629"/>
      <c r="D14" s="629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630"/>
    </row>
    <row r="15" spans="2:17" ht="12.75">
      <c r="B15" s="42" t="s">
        <v>147</v>
      </c>
      <c r="C15" s="98"/>
      <c r="D15" s="42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2"/>
    </row>
    <row r="17" spans="19:28" s="307" customFormat="1" ht="12.75">
      <c r="S17" s="140"/>
      <c r="T17" s="140"/>
      <c r="U17" s="140"/>
      <c r="V17" s="140"/>
      <c r="W17" s="140"/>
      <c r="X17" s="140"/>
      <c r="Y17" s="140"/>
      <c r="Z17" s="140"/>
      <c r="AA17" s="140"/>
      <c r="AB17" s="140"/>
    </row>
    <row r="18" spans="19:28" s="307" customFormat="1" ht="12.75">
      <c r="S18" s="140"/>
      <c r="T18" s="140"/>
      <c r="U18" s="140"/>
      <c r="V18" s="140"/>
      <c r="W18" s="140"/>
      <c r="X18" s="140"/>
      <c r="Y18" s="140"/>
      <c r="Z18" s="140"/>
      <c r="AA18" s="140"/>
      <c r="AB18" s="140"/>
    </row>
    <row r="19" spans="4:28" s="307" customFormat="1" ht="12.75">
      <c r="D19" s="308" t="s">
        <v>24</v>
      </c>
      <c r="E19" s="308" t="s">
        <v>49</v>
      </c>
      <c r="F19" s="308" t="s">
        <v>50</v>
      </c>
      <c r="G19" s="308" t="s">
        <v>51</v>
      </c>
      <c r="H19" s="308" t="s">
        <v>52</v>
      </c>
      <c r="I19" s="308" t="s">
        <v>53</v>
      </c>
      <c r="J19" s="308" t="s">
        <v>54</v>
      </c>
      <c r="K19" s="308" t="s">
        <v>55</v>
      </c>
      <c r="L19" s="308" t="s">
        <v>56</v>
      </c>
      <c r="M19" s="308" t="s">
        <v>57</v>
      </c>
      <c r="N19" s="308" t="s">
        <v>58</v>
      </c>
      <c r="O19" s="308" t="s">
        <v>59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</row>
    <row r="20" spans="3:28" s="307" customFormat="1" ht="12.75">
      <c r="C20" s="307" t="s">
        <v>64</v>
      </c>
      <c r="D20" s="309">
        <f>+E10</f>
        <v>1873.14</v>
      </c>
      <c r="E20" s="309">
        <f aca="true" t="shared" si="1" ref="E20:O20">+F10</f>
        <v>1831.7359999999996</v>
      </c>
      <c r="F20" s="309">
        <f t="shared" si="1"/>
        <v>1057.491</v>
      </c>
      <c r="G20" s="309">
        <f t="shared" si="1"/>
        <v>1164.9846</v>
      </c>
      <c r="H20" s="309">
        <f t="shared" si="1"/>
        <v>1471.9214999999997</v>
      </c>
      <c r="I20" s="309">
        <f t="shared" si="1"/>
        <v>1368.7209999999998</v>
      </c>
      <c r="J20" s="309">
        <f t="shared" si="1"/>
        <v>1657.1296000000002</v>
      </c>
      <c r="K20" s="309">
        <f t="shared" si="1"/>
        <v>1953.926</v>
      </c>
      <c r="L20" s="309">
        <f t="shared" si="1"/>
        <v>1506.8799999999999</v>
      </c>
      <c r="M20" s="309">
        <f t="shared" si="1"/>
        <v>1921.633</v>
      </c>
      <c r="N20" s="309">
        <f t="shared" si="1"/>
        <v>2175.433</v>
      </c>
      <c r="O20" s="309">
        <f t="shared" si="1"/>
        <v>1289.585</v>
      </c>
      <c r="S20" s="140"/>
      <c r="T20" s="140"/>
      <c r="U20" s="140"/>
      <c r="V20" s="140"/>
      <c r="W20" s="140"/>
      <c r="X20" s="140"/>
      <c r="Y20" s="140"/>
      <c r="Z20" s="140"/>
      <c r="AA20" s="140"/>
      <c r="AB20" s="140"/>
    </row>
    <row r="21" spans="3:28" s="307" customFormat="1" ht="12.75">
      <c r="C21" s="307" t="str">
        <f>+C12</f>
        <v>Algas</v>
      </c>
      <c r="D21" s="309">
        <f>+E12</f>
        <v>3381.19</v>
      </c>
      <c r="E21" s="309">
        <f aca="true" t="shared" si="2" ref="E21:O21">+F12</f>
        <v>1552.6929999999998</v>
      </c>
      <c r="F21" s="309">
        <f t="shared" si="2"/>
        <v>5372.009999999999</v>
      </c>
      <c r="G21" s="309">
        <f t="shared" si="2"/>
        <v>4181.049000000001</v>
      </c>
      <c r="H21" s="309">
        <f t="shared" si="2"/>
        <v>3800.1699999999996</v>
      </c>
      <c r="I21" s="309">
        <f t="shared" si="2"/>
        <v>3393.11</v>
      </c>
      <c r="J21" s="309">
        <f t="shared" si="2"/>
        <v>3261.84</v>
      </c>
      <c r="K21" s="309">
        <f t="shared" si="2"/>
        <v>3259.1840000000007</v>
      </c>
      <c r="L21" s="309">
        <f t="shared" si="2"/>
        <v>3064.675</v>
      </c>
      <c r="M21" s="309">
        <f t="shared" si="2"/>
        <v>2002.1660000000002</v>
      </c>
      <c r="N21" s="309">
        <f t="shared" si="2"/>
        <v>1977.7220000000002</v>
      </c>
      <c r="O21" s="309">
        <f t="shared" si="2"/>
        <v>1921.2399999999998</v>
      </c>
      <c r="S21" s="140"/>
      <c r="T21" s="140"/>
      <c r="U21" s="140"/>
      <c r="V21" s="140"/>
      <c r="W21" s="140"/>
      <c r="X21" s="140"/>
      <c r="Y21" s="140"/>
      <c r="Z21" s="140"/>
      <c r="AA21" s="140"/>
      <c r="AB21" s="140"/>
    </row>
    <row r="22" spans="19:28" s="307" customFormat="1" ht="12.75">
      <c r="S22" s="140"/>
      <c r="T22" s="140"/>
      <c r="U22" s="140"/>
      <c r="V22" s="140"/>
      <c r="W22" s="140"/>
      <c r="X22" s="140"/>
      <c r="Y22" s="140"/>
      <c r="Z22" s="140"/>
      <c r="AA22" s="140"/>
      <c r="AB22" s="140"/>
    </row>
    <row r="23" spans="19:28" s="307" customFormat="1" ht="12.75">
      <c r="S23" s="140"/>
      <c r="T23" s="140"/>
      <c r="U23" s="140"/>
      <c r="V23" s="140"/>
      <c r="W23" s="140"/>
      <c r="X23" s="140"/>
      <c r="Y23" s="140"/>
      <c r="Z23" s="140"/>
      <c r="AA23" s="140"/>
      <c r="AB23" s="140"/>
    </row>
    <row r="24" spans="19:28" s="307" customFormat="1" ht="12.75">
      <c r="S24" s="140"/>
      <c r="T24" s="140"/>
      <c r="U24" s="140"/>
      <c r="V24" s="140"/>
      <c r="W24" s="140"/>
      <c r="X24" s="140"/>
      <c r="Y24" s="140"/>
      <c r="Z24" s="140"/>
      <c r="AA24" s="140"/>
      <c r="AB24" s="140"/>
    </row>
    <row r="25" spans="19:28" s="307" customFormat="1" ht="12.75">
      <c r="S25" s="140"/>
      <c r="T25" s="140"/>
      <c r="U25" s="140"/>
      <c r="V25" s="140"/>
      <c r="W25" s="140"/>
      <c r="X25" s="140"/>
      <c r="Y25" s="140"/>
      <c r="Z25" s="140"/>
      <c r="AA25" s="140"/>
      <c r="AB25" s="140"/>
    </row>
    <row r="26" spans="19:28" s="307" customFormat="1" ht="12.75">
      <c r="S26" s="140"/>
      <c r="T26" s="140"/>
      <c r="U26" s="140"/>
      <c r="V26" s="140"/>
      <c r="W26" s="140"/>
      <c r="X26" s="140"/>
      <c r="Y26" s="140"/>
      <c r="Z26" s="140"/>
      <c r="AA26" s="140"/>
      <c r="AB26" s="140"/>
    </row>
    <row r="27" spans="19:28" s="307" customFormat="1" ht="12.75">
      <c r="S27" s="140"/>
      <c r="T27" s="140"/>
      <c r="U27" s="140"/>
      <c r="V27" s="140"/>
      <c r="W27" s="140"/>
      <c r="X27" s="140"/>
      <c r="Y27" s="140"/>
      <c r="Z27" s="140"/>
      <c r="AA27" s="140"/>
      <c r="AB27" s="140"/>
    </row>
    <row r="32" spans="19:28" s="176" customFormat="1" ht="12.75">
      <c r="S32" s="140"/>
      <c r="T32" s="140"/>
      <c r="U32" s="140"/>
      <c r="V32" s="140"/>
      <c r="W32" s="140"/>
      <c r="X32" s="140"/>
      <c r="Y32" s="140"/>
      <c r="Z32" s="140"/>
      <c r="AA32" s="140"/>
      <c r="AB32" s="140"/>
    </row>
    <row r="33" spans="3:28" s="307" customFormat="1" ht="12.75">
      <c r="C33" s="42" t="s">
        <v>147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</row>
    <row r="34" spans="3:28" s="307" customFormat="1" ht="12.75">
      <c r="C34" s="42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</row>
    <row r="35" spans="3:28" s="307" customFormat="1" ht="12.75">
      <c r="C35" s="42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</row>
    <row r="36" spans="3:28" s="307" customFormat="1" ht="12.75">
      <c r="C36" s="42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</row>
    <row r="37" spans="3:28" s="307" customFormat="1" ht="12.75">
      <c r="C37" s="42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</row>
    <row r="38" spans="5:28" s="176" customFormat="1" ht="12.75">
      <c r="E38" s="176" t="s">
        <v>274</v>
      </c>
      <c r="F38" s="250" t="s">
        <v>24</v>
      </c>
      <c r="G38" s="250" t="s">
        <v>49</v>
      </c>
      <c r="H38" s="250" t="s">
        <v>50</v>
      </c>
      <c r="I38" s="250" t="s">
        <v>51</v>
      </c>
      <c r="J38" s="250" t="s">
        <v>52</v>
      </c>
      <c r="K38" s="250" t="s">
        <v>53</v>
      </c>
      <c r="L38" s="250" t="s">
        <v>54</v>
      </c>
      <c r="M38" s="250" t="s">
        <v>55</v>
      </c>
      <c r="N38" s="250" t="s">
        <v>56</v>
      </c>
      <c r="O38" s="250" t="s">
        <v>57</v>
      </c>
      <c r="P38" s="250" t="s">
        <v>58</v>
      </c>
      <c r="Q38" s="250" t="s">
        <v>59</v>
      </c>
      <c r="S38" s="140"/>
      <c r="T38" s="140"/>
      <c r="U38" s="140"/>
      <c r="V38" s="140"/>
      <c r="W38" s="140"/>
      <c r="X38" s="140"/>
      <c r="Y38" s="140"/>
      <c r="Z38" s="140"/>
      <c r="AA38" s="140"/>
      <c r="AB38" s="140"/>
    </row>
    <row r="39" spans="6:28" s="176" customFormat="1" ht="12.75">
      <c r="F39" s="249">
        <f>+E8</f>
        <v>5254.514</v>
      </c>
      <c r="G39" s="249">
        <f aca="true" t="shared" si="3" ref="G39:Q39">+F8</f>
        <v>3384.428999999999</v>
      </c>
      <c r="H39" s="249">
        <f t="shared" si="3"/>
        <v>6429.500999999999</v>
      </c>
      <c r="I39" s="249">
        <f t="shared" si="3"/>
        <v>5346.033600000001</v>
      </c>
      <c r="J39" s="249">
        <f t="shared" si="3"/>
        <v>5275.951499999999</v>
      </c>
      <c r="K39" s="249">
        <f t="shared" si="3"/>
        <v>4764.204</v>
      </c>
      <c r="L39" s="249">
        <f t="shared" si="3"/>
        <v>4920.7936</v>
      </c>
      <c r="M39" s="249">
        <f t="shared" si="3"/>
        <v>5214.939</v>
      </c>
      <c r="N39" s="249">
        <f t="shared" si="3"/>
        <v>4574.525000000001</v>
      </c>
      <c r="O39" s="249">
        <f t="shared" si="3"/>
        <v>3925.009</v>
      </c>
      <c r="P39" s="249">
        <f t="shared" si="3"/>
        <v>4153.647000000001</v>
      </c>
      <c r="Q39" s="249">
        <f t="shared" si="3"/>
        <v>3212.265</v>
      </c>
      <c r="R39" s="249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</row>
    <row r="40" spans="19:28" s="176" customFormat="1" ht="12.75">
      <c r="S40" s="140"/>
      <c r="T40" s="140"/>
      <c r="U40" s="140"/>
      <c r="V40" s="140"/>
      <c r="W40" s="140"/>
      <c r="X40" s="140"/>
      <c r="Y40" s="140"/>
      <c r="Z40" s="140"/>
      <c r="AA40" s="140"/>
      <c r="AB40" s="140"/>
    </row>
    <row r="41" spans="19:28" s="307" customFormat="1" ht="12.75">
      <c r="S41" s="140"/>
      <c r="T41" s="140"/>
      <c r="U41" s="140"/>
      <c r="V41" s="140"/>
      <c r="W41" s="140"/>
      <c r="X41" s="140"/>
      <c r="Y41" s="140"/>
      <c r="Z41" s="140"/>
      <c r="AA41" s="140"/>
      <c r="AB41" s="140"/>
    </row>
    <row r="42" spans="19:28" s="307" customFormat="1" ht="12.75">
      <c r="S42" s="140"/>
      <c r="T42" s="140"/>
      <c r="U42" s="140"/>
      <c r="V42" s="140"/>
      <c r="W42" s="140"/>
      <c r="X42" s="140"/>
      <c r="Y42" s="140"/>
      <c r="Z42" s="140"/>
      <c r="AA42" s="140"/>
      <c r="AB42" s="140"/>
    </row>
    <row r="43" spans="19:28" s="176" customFormat="1" ht="12.75">
      <c r="S43" s="140"/>
      <c r="T43" s="140"/>
      <c r="U43" s="140"/>
      <c r="V43" s="140"/>
      <c r="W43" s="140"/>
      <c r="X43" s="140"/>
      <c r="Y43" s="140"/>
      <c r="Z43" s="140"/>
      <c r="AA43" s="140"/>
      <c r="AB43" s="140"/>
    </row>
    <row r="44" spans="19:28" s="176" customFormat="1" ht="12.75">
      <c r="S44" s="140"/>
      <c r="T44" s="140"/>
      <c r="U44" s="140"/>
      <c r="V44" s="140"/>
      <c r="W44" s="140"/>
      <c r="X44" s="140"/>
      <c r="Y44" s="140"/>
      <c r="Z44" s="140"/>
      <c r="AA44" s="140"/>
      <c r="AB44" s="140"/>
    </row>
    <row r="45" spans="19:28" s="176" customFormat="1" ht="12.75">
      <c r="S45" s="140"/>
      <c r="T45" s="140"/>
      <c r="U45" s="140"/>
      <c r="V45" s="140"/>
      <c r="W45" s="140"/>
      <c r="X45" s="140"/>
      <c r="Y45" s="140"/>
      <c r="Z45" s="140"/>
      <c r="AA45" s="140"/>
      <c r="AB45" s="140"/>
    </row>
    <row r="46" spans="19:28" s="176" customFormat="1" ht="12.75">
      <c r="S46" s="140"/>
      <c r="T46" s="140"/>
      <c r="U46" s="140"/>
      <c r="V46" s="140"/>
      <c r="W46" s="140"/>
      <c r="X46" s="140"/>
      <c r="Y46" s="140"/>
      <c r="Z46" s="140"/>
      <c r="AA46" s="140"/>
      <c r="AB46" s="140"/>
    </row>
    <row r="47" spans="19:28" s="176" customFormat="1" ht="12.75">
      <c r="S47" s="140"/>
      <c r="T47" s="140"/>
      <c r="U47" s="140"/>
      <c r="V47" s="140"/>
      <c r="W47" s="140"/>
      <c r="X47" s="140"/>
      <c r="Y47" s="140"/>
      <c r="Z47" s="140"/>
      <c r="AA47" s="140"/>
      <c r="AB47" s="140"/>
    </row>
    <row r="48" spans="19:28" s="176" customFormat="1" ht="12.75">
      <c r="S48" s="140"/>
      <c r="T48" s="140"/>
      <c r="U48" s="140"/>
      <c r="V48" s="140"/>
      <c r="W48" s="140"/>
      <c r="X48" s="140"/>
      <c r="Y48" s="140"/>
      <c r="Z48" s="140"/>
      <c r="AA48" s="140"/>
      <c r="AB48" s="140"/>
    </row>
    <row r="49" spans="19:28" s="176" customFormat="1" ht="12.75">
      <c r="S49" s="140"/>
      <c r="T49" s="140"/>
      <c r="U49" s="140"/>
      <c r="V49" s="140"/>
      <c r="W49" s="140"/>
      <c r="X49" s="140"/>
      <c r="Y49" s="140"/>
      <c r="Z49" s="140"/>
      <c r="AA49" s="140"/>
      <c r="AB49" s="140"/>
    </row>
    <row r="50" spans="19:28" s="176" customFormat="1" ht="12.75">
      <c r="S50" s="140"/>
      <c r="T50" s="140"/>
      <c r="U50" s="140"/>
      <c r="V50" s="140"/>
      <c r="W50" s="140"/>
      <c r="X50" s="140"/>
      <c r="Y50" s="140"/>
      <c r="Z50" s="140"/>
      <c r="AA50" s="140"/>
      <c r="AB50" s="140"/>
    </row>
    <row r="60" ht="12.75">
      <c r="C60" s="42" t="s">
        <v>147</v>
      </c>
    </row>
  </sheetData>
  <sheetProtection/>
  <mergeCells count="5">
    <mergeCell ref="B3:Q3"/>
    <mergeCell ref="B4:Q4"/>
    <mergeCell ref="B6:C6"/>
    <mergeCell ref="P6:Q6"/>
    <mergeCell ref="B8:C8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Pesqueria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Karin Lissett Montoya Javes</cp:lastModifiedBy>
  <cp:lastPrinted>2020-01-15T16:37:42Z</cp:lastPrinted>
  <dcterms:created xsi:type="dcterms:W3CDTF">2004-03-09T16:01:08Z</dcterms:created>
  <dcterms:modified xsi:type="dcterms:W3CDTF">2023-05-26T19:19:13Z</dcterms:modified>
  <cp:category/>
  <cp:version/>
  <cp:contentType/>
  <cp:contentStatus/>
</cp:coreProperties>
</file>